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/>
  <mc:AlternateContent xmlns:mc="http://schemas.openxmlformats.org/markup-compatibility/2006">
    <mc:Choice Requires="x15">
      <x15ac:absPath xmlns:x15ac="http://schemas.microsoft.com/office/spreadsheetml/2010/11/ac" url="/Users/mertdeveci5/Downloads/Excel/"/>
    </mc:Choice>
  </mc:AlternateContent>
  <xr:revisionPtr revIDLastSave="0" documentId="13_ncr:1_{9642546B-E281-3945-8885-ADEFD32D2BC7}" xr6:coauthVersionLast="47" xr6:coauthVersionMax="47" xr10:uidLastSave="{00000000-0000-0000-0000-000000000000}"/>
  <bookViews>
    <workbookView xWindow="0" yWindow="760" windowWidth="30240" windowHeight="18880" activeTab="2" xr2:uid="{CB62781A-3A2E-4A98-AA87-EC77C7D83254}"/>
  </bookViews>
  <sheets>
    <sheet name="Cover" sheetId="1" r:id="rId1"/>
    <sheet name="Financial Model&gt;&gt;&gt;" sheetId="2" r:id="rId2"/>
    <sheet name="Operational Assumptions" sheetId="3" r:id="rId3"/>
    <sheet name="Model" sheetId="4" r:id="rId4"/>
    <sheet name="DCF&gt;&gt;&gt;" sheetId="5" r:id="rId5"/>
    <sheet name="Control" sheetId="6" r:id="rId6"/>
    <sheet name="DCF" sheetId="7" r:id="rId7"/>
    <sheet name="DCF Output" sheetId="8" r:id="rId8"/>
    <sheet name="LBO&gt;&gt;&gt;" sheetId="9" r:id="rId9"/>
    <sheet name="LBO Control" sheetId="11" r:id="rId10"/>
    <sheet name="LBO" sheetId="12" r:id="rId11"/>
    <sheet name="LBO Output" sheetId="14" r:id="rId12"/>
    <sheet name="WACC" sheetId="13" r:id="rId13"/>
  </sheets>
  <externalReferences>
    <externalReference r:id="rId14"/>
  </externalReferences>
  <definedNames>
    <definedName name="capexswitch">[1]Control!$L$2</definedName>
    <definedName name="circ">LBO!$E$7</definedName>
    <definedName name="Costswitch">[1]Control!$F$2</definedName>
    <definedName name="dacase">[1]Control!$O$2</definedName>
    <definedName name="LTVswitch">[1]Control!$I$2</definedName>
    <definedName name="_xlnm.Print_Area" localSheetId="0">Cover!$A$1:$F$18</definedName>
    <definedName name="_xlnm.Print_Area" localSheetId="9">'LBO Control'!$A$1:$M$58,'LBO Control'!$N$59:$W$91</definedName>
    <definedName name="_xlnm.Print_Area" localSheetId="12">WACC!$A$1:$M$35</definedName>
    <definedName name="Revenueswitch">[1]Control!$C$2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74" i="3" l="1"/>
  <c r="U74" i="3"/>
  <c r="T74" i="3"/>
  <c r="S74" i="3"/>
  <c r="R74" i="3"/>
  <c r="Q74" i="3"/>
  <c r="P74" i="3"/>
  <c r="O74" i="3"/>
  <c r="N74" i="3"/>
  <c r="F48" i="4"/>
  <c r="H44" i="11"/>
  <c r="H21" i="11"/>
  <c r="H33" i="11"/>
  <c r="K13" i="11"/>
  <c r="M41" i="4" l="1"/>
  <c r="R31" i="14"/>
  <c r="R33" i="14"/>
  <c r="R32" i="14"/>
  <c r="S31" i="14"/>
  <c r="O31" i="14"/>
  <c r="O32" i="14"/>
  <c r="N32" i="14"/>
  <c r="N31" i="14"/>
  <c r="N30" i="14"/>
  <c r="F23" i="14"/>
  <c r="F24" i="14" s="1"/>
  <c r="F25" i="14" s="1"/>
  <c r="F22" i="14"/>
  <c r="H20" i="14"/>
  <c r="I20" i="14" s="1"/>
  <c r="J20" i="14" s="1"/>
  <c r="K20" i="14" s="1"/>
  <c r="L20" i="14" s="1"/>
  <c r="C11" i="14"/>
  <c r="C8" i="14"/>
  <c r="E7" i="14"/>
  <c r="C7" i="14"/>
  <c r="P87" i="11"/>
  <c r="P88" i="11" s="1"/>
  <c r="P89" i="11" s="1"/>
  <c r="P90" i="11" s="1"/>
  <c r="P86" i="11"/>
  <c r="T84" i="11"/>
  <c r="U84" i="11" s="1"/>
  <c r="V84" i="11" s="1"/>
  <c r="S84" i="11"/>
  <c r="R84" i="11"/>
  <c r="S73" i="11"/>
  <c r="T73" i="11" s="1"/>
  <c r="U73" i="11" s="1"/>
  <c r="V73" i="11" s="1"/>
  <c r="R73" i="11"/>
  <c r="P76" i="11"/>
  <c r="P77" i="11" s="1"/>
  <c r="P78" i="11" s="1"/>
  <c r="P79" i="11" s="1"/>
  <c r="P75" i="11"/>
  <c r="P64" i="11"/>
  <c r="P65" i="11" s="1"/>
  <c r="P66" i="11" s="1"/>
  <c r="P67" i="11" s="1"/>
  <c r="P68" i="11" s="1"/>
  <c r="S62" i="11"/>
  <c r="T62" i="11" s="1"/>
  <c r="U62" i="11" s="1"/>
  <c r="V62" i="11" s="1"/>
  <c r="R62" i="11"/>
  <c r="E29" i="11"/>
  <c r="E83" i="12"/>
  <c r="E79" i="12"/>
  <c r="E62" i="12"/>
  <c r="D19" i="11"/>
  <c r="K22" i="11"/>
  <c r="E73" i="12"/>
  <c r="E69" i="12"/>
  <c r="E61" i="12"/>
  <c r="I56" i="12"/>
  <c r="E56" i="12"/>
  <c r="H59" i="12" s="1"/>
  <c r="J46" i="12"/>
  <c r="K46" i="12"/>
  <c r="L46" i="12"/>
  <c r="M46" i="12"/>
  <c r="N46" i="12"/>
  <c r="I46" i="12"/>
  <c r="K45" i="12"/>
  <c r="L45" i="12"/>
  <c r="M45" i="12"/>
  <c r="N45" i="12"/>
  <c r="J45" i="12"/>
  <c r="I45" i="12"/>
  <c r="H44" i="12"/>
  <c r="I44" i="12" s="1"/>
  <c r="J44" i="12" s="1"/>
  <c r="K44" i="12" s="1"/>
  <c r="L44" i="12" s="1"/>
  <c r="M44" i="12" s="1"/>
  <c r="N44" i="12" s="1"/>
  <c r="N86" i="12" s="1"/>
  <c r="J23" i="12"/>
  <c r="K23" i="12"/>
  <c r="L23" i="12"/>
  <c r="M23" i="12"/>
  <c r="N23" i="12"/>
  <c r="I23" i="12"/>
  <c r="N11" i="12"/>
  <c r="M11" i="12"/>
  <c r="L11" i="12"/>
  <c r="K11" i="12"/>
  <c r="J11" i="12"/>
  <c r="I11" i="12"/>
  <c r="G12" i="12"/>
  <c r="F12" i="12"/>
  <c r="I6" i="12"/>
  <c r="H6" i="12" s="1"/>
  <c r="G6" i="12" s="1"/>
  <c r="F6" i="12" s="1"/>
  <c r="C5" i="12"/>
  <c r="C32" i="13"/>
  <c r="C33" i="13" s="1"/>
  <c r="C23" i="13"/>
  <c r="C27" i="13" s="1"/>
  <c r="C19" i="13"/>
  <c r="K16" i="13"/>
  <c r="J14" i="13"/>
  <c r="L14" i="13" s="1"/>
  <c r="L13" i="13"/>
  <c r="J13" i="13"/>
  <c r="J12" i="13"/>
  <c r="L12" i="13" s="1"/>
  <c r="J11" i="13"/>
  <c r="L11" i="13" s="1"/>
  <c r="J10" i="13"/>
  <c r="L10" i="13" s="1"/>
  <c r="J9" i="13"/>
  <c r="L9" i="13" s="1"/>
  <c r="J8" i="13"/>
  <c r="L8" i="13" s="1"/>
  <c r="L16" i="13" s="1"/>
  <c r="M86" i="12" l="1"/>
  <c r="I86" i="12"/>
  <c r="L86" i="12"/>
  <c r="H86" i="12"/>
  <c r="K86" i="12"/>
  <c r="J86" i="12"/>
  <c r="J6" i="12"/>
  <c r="K6" i="12" s="1"/>
  <c r="L6" i="12" s="1"/>
  <c r="M6" i="12" s="1"/>
  <c r="N6" i="12" s="1"/>
  <c r="J16" i="13"/>
  <c r="F18" i="13" s="1"/>
  <c r="C13" i="13" s="1"/>
  <c r="C15" i="13" s="1"/>
  <c r="C35" i="13" s="1"/>
  <c r="I103" i="12" l="1"/>
  <c r="H36" i="11"/>
  <c r="E8" i="14" s="1"/>
  <c r="I104" i="12"/>
  <c r="J103" i="12"/>
  <c r="J104" i="12"/>
  <c r="O6" i="12"/>
  <c r="H54" i="11"/>
  <c r="H55" i="11" s="1"/>
  <c r="H56" i="11" s="1"/>
  <c r="H57" i="11" s="1"/>
  <c r="H52" i="11"/>
  <c r="H46" i="11"/>
  <c r="H47" i="11" s="1"/>
  <c r="H48" i="11" s="1"/>
  <c r="H49" i="11" s="1"/>
  <c r="H35" i="11"/>
  <c r="F17" i="14" s="1"/>
  <c r="H23" i="11"/>
  <c r="H24" i="11" s="1"/>
  <c r="H25" i="11" s="1"/>
  <c r="H26" i="11" s="1"/>
  <c r="H14" i="11"/>
  <c r="C9" i="14" s="1"/>
  <c r="C5" i="11"/>
  <c r="N50" i="8"/>
  <c r="N49" i="8"/>
  <c r="X41" i="8"/>
  <c r="T41" i="8"/>
  <c r="Z104" i="7"/>
  <c r="W104" i="7"/>
  <c r="T104" i="7"/>
  <c r="P41" i="8" s="1"/>
  <c r="R42" i="8"/>
  <c r="V42" i="8" s="1"/>
  <c r="Z42" i="8" s="1"/>
  <c r="V26" i="8"/>
  <c r="Z26" i="8" s="1"/>
  <c r="R26" i="8"/>
  <c r="Q26" i="8"/>
  <c r="Q42" i="8" s="1"/>
  <c r="U42" i="8" s="1"/>
  <c r="Y42" i="8" s="1"/>
  <c r="P26" i="8"/>
  <c r="P42" i="8" s="1"/>
  <c r="T42" i="8" s="1"/>
  <c r="X42" i="8" s="1"/>
  <c r="X25" i="8"/>
  <c r="T25" i="8"/>
  <c r="P25" i="8"/>
  <c r="N36" i="8"/>
  <c r="N35" i="8"/>
  <c r="J6" i="8"/>
  <c r="E6" i="8"/>
  <c r="F6" i="8"/>
  <c r="G6" i="8"/>
  <c r="H6" i="8"/>
  <c r="I6" i="8"/>
  <c r="D6" i="8"/>
  <c r="R124" i="7"/>
  <c r="R117" i="7"/>
  <c r="R116" i="7"/>
  <c r="R114" i="7"/>
  <c r="R113" i="7"/>
  <c r="T110" i="7"/>
  <c r="U110" i="7" s="1"/>
  <c r="V110" i="7" s="1"/>
  <c r="W110" i="7" s="1"/>
  <c r="X110" i="7" s="1"/>
  <c r="Y110" i="7" s="1"/>
  <c r="Z110" i="7" s="1"/>
  <c r="AA110" i="7" s="1"/>
  <c r="AB110" i="7" s="1"/>
  <c r="G34" i="7"/>
  <c r="G8" i="7" s="1"/>
  <c r="G6" i="7"/>
  <c r="H6" i="7"/>
  <c r="V105" i="7"/>
  <c r="U105" i="7"/>
  <c r="T105" i="7"/>
  <c r="W105" i="7" s="1"/>
  <c r="Z105" i="7" s="1"/>
  <c r="V86" i="7"/>
  <c r="W86" i="7" s="1"/>
  <c r="X86" i="7" s="1"/>
  <c r="Y86" i="7" s="1"/>
  <c r="Z86" i="7" s="1"/>
  <c r="AA86" i="7" s="1"/>
  <c r="AB86" i="7" s="1"/>
  <c r="U86" i="7"/>
  <c r="Z81" i="7"/>
  <c r="AA81" i="7"/>
  <c r="AB81" i="7"/>
  <c r="X81" i="7"/>
  <c r="Y81" i="7"/>
  <c r="W81" i="7"/>
  <c r="V81" i="7"/>
  <c r="U81" i="7"/>
  <c r="T81" i="7"/>
  <c r="Z80" i="7"/>
  <c r="W80" i="7"/>
  <c r="T80" i="7"/>
  <c r="I69" i="7"/>
  <c r="I66" i="7"/>
  <c r="I63" i="7"/>
  <c r="I64" i="7"/>
  <c r="I65" i="7"/>
  <c r="H71" i="7"/>
  <c r="H70" i="7"/>
  <c r="H69" i="7"/>
  <c r="H68" i="7"/>
  <c r="H67" i="7"/>
  <c r="H66" i="7"/>
  <c r="H65" i="7"/>
  <c r="H64" i="7"/>
  <c r="H63" i="7"/>
  <c r="I57" i="7"/>
  <c r="I58" i="7" s="1"/>
  <c r="I56" i="7"/>
  <c r="I55" i="7"/>
  <c r="I54" i="7"/>
  <c r="I53" i="7"/>
  <c r="I52" i="7"/>
  <c r="I51" i="7"/>
  <c r="I50" i="7"/>
  <c r="H58" i="7"/>
  <c r="H57" i="7"/>
  <c r="H56" i="7"/>
  <c r="H55" i="7"/>
  <c r="H54" i="7"/>
  <c r="H53" i="7"/>
  <c r="H52" i="7"/>
  <c r="H51" i="7"/>
  <c r="H50" i="7"/>
  <c r="C47" i="7"/>
  <c r="C45" i="7"/>
  <c r="C44" i="7"/>
  <c r="C43" i="7"/>
  <c r="F15" i="7"/>
  <c r="G15" i="7"/>
  <c r="E15" i="7"/>
  <c r="F13" i="7"/>
  <c r="E13" i="7"/>
  <c r="E9" i="14" l="1"/>
  <c r="H37" i="11"/>
  <c r="E10" i="14" s="1"/>
  <c r="N99" i="12"/>
  <c r="J99" i="12"/>
  <c r="M99" i="12"/>
  <c r="I99" i="12"/>
  <c r="L99" i="12"/>
  <c r="K99" i="12"/>
  <c r="T26" i="8"/>
  <c r="X26" i="8" s="1"/>
  <c r="U26" i="8"/>
  <c r="Y26" i="8" s="1"/>
  <c r="H34" i="7"/>
  <c r="Y105" i="7"/>
  <c r="AB105" i="7" s="1"/>
  <c r="I67" i="7"/>
  <c r="I68" i="7" s="1"/>
  <c r="I70" i="7"/>
  <c r="I71" i="7" s="1"/>
  <c r="I34" i="7" l="1"/>
  <c r="H8" i="7"/>
  <c r="H37" i="7"/>
  <c r="H36" i="7"/>
  <c r="X105" i="7"/>
  <c r="AA105" i="7" s="1"/>
  <c r="F6" i="7"/>
  <c r="E6" i="7" s="1"/>
  <c r="C5" i="7"/>
  <c r="J47" i="4"/>
  <c r="I47" i="4"/>
  <c r="H47" i="4"/>
  <c r="G47" i="4"/>
  <c r="F47" i="4"/>
  <c r="J38" i="4"/>
  <c r="J49" i="4" s="1"/>
  <c r="I38" i="4"/>
  <c r="I49" i="4" s="1"/>
  <c r="H38" i="4"/>
  <c r="H49" i="4" s="1"/>
  <c r="G38" i="4"/>
  <c r="G49" i="4" s="1"/>
  <c r="F38" i="4"/>
  <c r="F49" i="4" s="1"/>
  <c r="J36" i="4"/>
  <c r="J39" i="4" s="1"/>
  <c r="I36" i="4"/>
  <c r="I39" i="4" s="1"/>
  <c r="H36" i="4"/>
  <c r="H39" i="4" s="1"/>
  <c r="G36" i="4"/>
  <c r="G37" i="4" s="1"/>
  <c r="F36" i="4"/>
  <c r="F39" i="4" s="1"/>
  <c r="J33" i="4"/>
  <c r="I33" i="4"/>
  <c r="H33" i="4"/>
  <c r="G33" i="4"/>
  <c r="J30" i="4"/>
  <c r="I30" i="4"/>
  <c r="H30" i="4"/>
  <c r="G30" i="4"/>
  <c r="J27" i="4"/>
  <c r="J28" i="4" s="1"/>
  <c r="I27" i="4"/>
  <c r="I28" i="4" s="1"/>
  <c r="H27" i="4"/>
  <c r="H28" i="4" s="1"/>
  <c r="G27" i="4"/>
  <c r="G28" i="4" s="1"/>
  <c r="F27" i="4"/>
  <c r="F28" i="4" s="1"/>
  <c r="J19" i="4"/>
  <c r="J32" i="4" s="1"/>
  <c r="I19" i="4"/>
  <c r="I32" i="4" s="1"/>
  <c r="H19" i="4"/>
  <c r="H32" i="4" s="1"/>
  <c r="G19" i="4"/>
  <c r="G48" i="4" s="1"/>
  <c r="F19" i="4"/>
  <c r="J26" i="4"/>
  <c r="I26" i="4"/>
  <c r="H26" i="4"/>
  <c r="G26" i="4"/>
  <c r="F26" i="4"/>
  <c r="J24" i="4"/>
  <c r="I24" i="4"/>
  <c r="H24" i="4"/>
  <c r="G24" i="4"/>
  <c r="F24" i="4"/>
  <c r="J22" i="4"/>
  <c r="I22" i="4"/>
  <c r="H22" i="4"/>
  <c r="G22" i="4"/>
  <c r="F22" i="4"/>
  <c r="D12" i="6"/>
  <c r="C5" i="6"/>
  <c r="K80" i="3"/>
  <c r="D59" i="4" s="1"/>
  <c r="V63" i="4"/>
  <c r="U63" i="4"/>
  <c r="T63" i="4"/>
  <c r="S63" i="4"/>
  <c r="R63" i="4"/>
  <c r="Q63" i="4"/>
  <c r="P63" i="4"/>
  <c r="O63" i="4"/>
  <c r="N63" i="4"/>
  <c r="M63" i="4"/>
  <c r="K63" i="4"/>
  <c r="V42" i="4"/>
  <c r="U42" i="4"/>
  <c r="T42" i="4"/>
  <c r="S42" i="4"/>
  <c r="R42" i="4"/>
  <c r="M20" i="7" s="1"/>
  <c r="Q42" i="4"/>
  <c r="L20" i="7" s="1"/>
  <c r="P42" i="4"/>
  <c r="K20" i="7" s="1"/>
  <c r="O42" i="4"/>
  <c r="J20" i="7" s="1"/>
  <c r="N42" i="4"/>
  <c r="I20" i="7" s="1"/>
  <c r="M42" i="4"/>
  <c r="H20" i="7" s="1"/>
  <c r="K42" i="4"/>
  <c r="V35" i="4"/>
  <c r="U35" i="4"/>
  <c r="T35" i="4"/>
  <c r="S35" i="4"/>
  <c r="R35" i="4"/>
  <c r="Q35" i="4"/>
  <c r="P35" i="4"/>
  <c r="O35" i="4"/>
  <c r="N35" i="4"/>
  <c r="M35" i="4"/>
  <c r="V51" i="4"/>
  <c r="U51" i="4"/>
  <c r="T51" i="4"/>
  <c r="S51" i="4"/>
  <c r="R51" i="4"/>
  <c r="Q51" i="4"/>
  <c r="P51" i="4"/>
  <c r="O51" i="4"/>
  <c r="N51" i="4"/>
  <c r="M51" i="4"/>
  <c r="K30" i="4"/>
  <c r="N32" i="4"/>
  <c r="O32" i="4"/>
  <c r="P32" i="4"/>
  <c r="Q32" i="4"/>
  <c r="R32" i="4"/>
  <c r="S32" i="4"/>
  <c r="T32" i="4"/>
  <c r="U32" i="4"/>
  <c r="V32" i="4"/>
  <c r="M32" i="4"/>
  <c r="N22" i="4"/>
  <c r="O22" i="4"/>
  <c r="P22" i="4"/>
  <c r="Q22" i="4"/>
  <c r="R22" i="4"/>
  <c r="S22" i="4"/>
  <c r="T22" i="4"/>
  <c r="U22" i="4"/>
  <c r="V22" i="4"/>
  <c r="N24" i="4"/>
  <c r="O24" i="4"/>
  <c r="P24" i="4"/>
  <c r="Q24" i="4"/>
  <c r="R24" i="4"/>
  <c r="S24" i="4"/>
  <c r="T24" i="4"/>
  <c r="U24" i="4"/>
  <c r="V24" i="4"/>
  <c r="N26" i="4"/>
  <c r="O26" i="4"/>
  <c r="P26" i="4"/>
  <c r="Q26" i="4"/>
  <c r="R26" i="4"/>
  <c r="S26" i="4"/>
  <c r="T26" i="4"/>
  <c r="U26" i="4"/>
  <c r="V26" i="4"/>
  <c r="M26" i="4"/>
  <c r="M24" i="4"/>
  <c r="M22" i="4"/>
  <c r="K27" i="4"/>
  <c r="K26" i="4"/>
  <c r="K24" i="4"/>
  <c r="K22" i="4"/>
  <c r="V18" i="4"/>
  <c r="U18" i="4"/>
  <c r="T18" i="4"/>
  <c r="S18" i="4"/>
  <c r="R18" i="4"/>
  <c r="Q18" i="4"/>
  <c r="P18" i="4"/>
  <c r="O18" i="4"/>
  <c r="N18" i="4"/>
  <c r="M18" i="4"/>
  <c r="M17" i="4" s="1"/>
  <c r="V16" i="4"/>
  <c r="U16" i="4"/>
  <c r="T16" i="4"/>
  <c r="S16" i="4"/>
  <c r="R16" i="4"/>
  <c r="Q16" i="4"/>
  <c r="P16" i="4"/>
  <c r="O16" i="4"/>
  <c r="N16" i="4"/>
  <c r="M16" i="4"/>
  <c r="M15" i="4" s="1"/>
  <c r="N15" i="4" s="1"/>
  <c r="O15" i="4" s="1"/>
  <c r="P15" i="4" s="1"/>
  <c r="Q15" i="4" s="1"/>
  <c r="R15" i="4" s="1"/>
  <c r="S15" i="4" s="1"/>
  <c r="T15" i="4" s="1"/>
  <c r="U15" i="4" s="1"/>
  <c r="V15" i="4" s="1"/>
  <c r="V23" i="4" s="1"/>
  <c r="N14" i="4"/>
  <c r="O14" i="4"/>
  <c r="P14" i="4"/>
  <c r="Q14" i="4"/>
  <c r="R14" i="4"/>
  <c r="S14" i="4"/>
  <c r="T14" i="4"/>
  <c r="U14" i="4"/>
  <c r="V14" i="4"/>
  <c r="M14" i="4"/>
  <c r="M13" i="4" s="1"/>
  <c r="N13" i="4" s="1"/>
  <c r="O13" i="4" s="1"/>
  <c r="P13" i="4" s="1"/>
  <c r="Q13" i="4" s="1"/>
  <c r="R13" i="4" s="1"/>
  <c r="S13" i="4" s="1"/>
  <c r="T13" i="4" s="1"/>
  <c r="U13" i="4" s="1"/>
  <c r="V13" i="4" s="1"/>
  <c r="V21" i="4" s="1"/>
  <c r="K14" i="4"/>
  <c r="K16" i="4"/>
  <c r="K18" i="4"/>
  <c r="K19" i="4"/>
  <c r="M8" i="4"/>
  <c r="N8" i="4" s="1"/>
  <c r="O8" i="4" s="1"/>
  <c r="P8" i="4" s="1"/>
  <c r="Q8" i="4" s="1"/>
  <c r="R8" i="4" s="1"/>
  <c r="S8" i="4" s="1"/>
  <c r="T8" i="4" s="1"/>
  <c r="U8" i="4" s="1"/>
  <c r="V8" i="4" s="1"/>
  <c r="M7" i="4"/>
  <c r="N7" i="4" s="1"/>
  <c r="O7" i="4" s="1"/>
  <c r="P7" i="4" s="1"/>
  <c r="Q7" i="4" s="1"/>
  <c r="R7" i="4" s="1"/>
  <c r="S7" i="4" s="1"/>
  <c r="T7" i="4" s="1"/>
  <c r="U7" i="4" s="1"/>
  <c r="V7" i="4" s="1"/>
  <c r="V86" i="3"/>
  <c r="U86" i="3"/>
  <c r="T86" i="3"/>
  <c r="S86" i="3"/>
  <c r="R86" i="3"/>
  <c r="Q86" i="3"/>
  <c r="P86" i="3"/>
  <c r="O86" i="3"/>
  <c r="N86" i="3"/>
  <c r="M86" i="3"/>
  <c r="M74" i="3"/>
  <c r="N65" i="3"/>
  <c r="O65" i="3"/>
  <c r="P65" i="3"/>
  <c r="Q65" i="3"/>
  <c r="R65" i="3"/>
  <c r="S65" i="3"/>
  <c r="T65" i="3"/>
  <c r="U65" i="3"/>
  <c r="V65" i="3"/>
  <c r="M65" i="3"/>
  <c r="V60" i="3"/>
  <c r="U60" i="3"/>
  <c r="T60" i="3"/>
  <c r="S60" i="3"/>
  <c r="R60" i="3"/>
  <c r="Q60" i="3"/>
  <c r="P60" i="3"/>
  <c r="O60" i="3"/>
  <c r="N60" i="3"/>
  <c r="M60" i="3"/>
  <c r="V54" i="3"/>
  <c r="U54" i="3"/>
  <c r="T54" i="3"/>
  <c r="S54" i="3"/>
  <c r="R54" i="3"/>
  <c r="Q54" i="3"/>
  <c r="P54" i="3"/>
  <c r="O54" i="3"/>
  <c r="N54" i="3"/>
  <c r="M54" i="3"/>
  <c r="V48" i="3"/>
  <c r="U48" i="3"/>
  <c r="T48" i="3"/>
  <c r="S48" i="3"/>
  <c r="R48" i="3"/>
  <c r="Q48" i="3"/>
  <c r="P48" i="3"/>
  <c r="O48" i="3"/>
  <c r="N48" i="3"/>
  <c r="M48" i="3"/>
  <c r="V43" i="3"/>
  <c r="U43" i="3"/>
  <c r="T43" i="3"/>
  <c r="S43" i="3"/>
  <c r="R43" i="3"/>
  <c r="Q43" i="3"/>
  <c r="P43" i="3"/>
  <c r="O43" i="3"/>
  <c r="N43" i="3"/>
  <c r="M43" i="3"/>
  <c r="V38" i="3"/>
  <c r="U38" i="3"/>
  <c r="T38" i="3"/>
  <c r="S38" i="3"/>
  <c r="R38" i="3"/>
  <c r="Q38" i="3"/>
  <c r="P38" i="3"/>
  <c r="O38" i="3"/>
  <c r="N38" i="3"/>
  <c r="M38" i="3"/>
  <c r="V32" i="3"/>
  <c r="U32" i="3"/>
  <c r="T32" i="3"/>
  <c r="S32" i="3"/>
  <c r="R32" i="3"/>
  <c r="Q32" i="3"/>
  <c r="P32" i="3"/>
  <c r="O32" i="3"/>
  <c r="N32" i="3"/>
  <c r="M32" i="3"/>
  <c r="V27" i="3"/>
  <c r="U27" i="3"/>
  <c r="T27" i="3"/>
  <c r="S27" i="3"/>
  <c r="R27" i="3"/>
  <c r="Q27" i="3"/>
  <c r="P27" i="3"/>
  <c r="O27" i="3"/>
  <c r="N27" i="3"/>
  <c r="M27" i="3"/>
  <c r="V22" i="3"/>
  <c r="U22" i="3"/>
  <c r="T22" i="3"/>
  <c r="S22" i="3"/>
  <c r="R22" i="3"/>
  <c r="Q22" i="3"/>
  <c r="P22" i="3"/>
  <c r="O22" i="3"/>
  <c r="N22" i="3"/>
  <c r="M22" i="3"/>
  <c r="O15" i="3"/>
  <c r="P15" i="3" s="1"/>
  <c r="Q15" i="3" s="1"/>
  <c r="R15" i="3" s="1"/>
  <c r="S15" i="3" s="1"/>
  <c r="T15" i="3" s="1"/>
  <c r="U15" i="3" s="1"/>
  <c r="V15" i="3" s="1"/>
  <c r="N15" i="3"/>
  <c r="M15" i="3"/>
  <c r="V16" i="3"/>
  <c r="U16" i="3"/>
  <c r="T16" i="3"/>
  <c r="S16" i="3"/>
  <c r="R16" i="3"/>
  <c r="Q16" i="3"/>
  <c r="P16" i="3"/>
  <c r="O16" i="3"/>
  <c r="N16" i="3"/>
  <c r="M16" i="3"/>
  <c r="E86" i="3"/>
  <c r="E80" i="3"/>
  <c r="E74" i="3"/>
  <c r="E65" i="3"/>
  <c r="E22" i="3"/>
  <c r="E27" i="3"/>
  <c r="E38" i="3"/>
  <c r="E43" i="3"/>
  <c r="E48" i="3"/>
  <c r="E54" i="3"/>
  <c r="E60" i="3"/>
  <c r="O8" i="3"/>
  <c r="P8" i="3" s="1"/>
  <c r="Q8" i="3" s="1"/>
  <c r="R8" i="3" s="1"/>
  <c r="S8" i="3" s="1"/>
  <c r="T8" i="3" s="1"/>
  <c r="U8" i="3" s="1"/>
  <c r="V8" i="3" s="1"/>
  <c r="N8" i="3"/>
  <c r="M8" i="3"/>
  <c r="O7" i="3"/>
  <c r="P7" i="3" s="1"/>
  <c r="Q7" i="3" s="1"/>
  <c r="R7" i="3" s="1"/>
  <c r="S7" i="3" s="1"/>
  <c r="T7" i="3" s="1"/>
  <c r="U7" i="3" s="1"/>
  <c r="V7" i="3" s="1"/>
  <c r="N7" i="3"/>
  <c r="M7" i="3"/>
  <c r="E16" i="3"/>
  <c r="D12" i="1"/>
  <c r="D14" i="1" s="1"/>
  <c r="C4" i="3"/>
  <c r="C5" i="3"/>
  <c r="K9" i="3" l="1"/>
  <c r="M9" i="3" s="1"/>
  <c r="N9" i="3" s="1"/>
  <c r="O9" i="3" s="1"/>
  <c r="P9" i="3" s="1"/>
  <c r="Q9" i="3" s="1"/>
  <c r="R9" i="3" s="1"/>
  <c r="S9" i="3" s="1"/>
  <c r="T9" i="3" s="1"/>
  <c r="U9" i="3" s="1"/>
  <c r="V9" i="3" s="1"/>
  <c r="F35" i="4"/>
  <c r="F54" i="4"/>
  <c r="F55" i="4" s="1"/>
  <c r="H41" i="4"/>
  <c r="H40" i="4"/>
  <c r="I41" i="4"/>
  <c r="I40" i="4"/>
  <c r="F41" i="4"/>
  <c r="F40" i="4"/>
  <c r="J41" i="4"/>
  <c r="J40" i="4"/>
  <c r="K20" i="4"/>
  <c r="H10" i="12"/>
  <c r="G10" i="7"/>
  <c r="K32" i="12"/>
  <c r="J25" i="7"/>
  <c r="F37" i="4"/>
  <c r="J37" i="4"/>
  <c r="H48" i="4"/>
  <c r="L32" i="12"/>
  <c r="K25" i="7"/>
  <c r="F10" i="12"/>
  <c r="F13" i="12" s="1"/>
  <c r="E10" i="7"/>
  <c r="E16" i="7" s="1"/>
  <c r="F32" i="4"/>
  <c r="K48" i="4"/>
  <c r="I48" i="4"/>
  <c r="C6" i="8"/>
  <c r="R76" i="7"/>
  <c r="I32" i="12"/>
  <c r="H25" i="7"/>
  <c r="D17" i="8" s="1"/>
  <c r="M32" i="12"/>
  <c r="L25" i="7"/>
  <c r="G10" i="12"/>
  <c r="F10" i="7"/>
  <c r="G32" i="4"/>
  <c r="H37" i="4"/>
  <c r="G39" i="4"/>
  <c r="J48" i="4"/>
  <c r="J32" i="12"/>
  <c r="I25" i="7"/>
  <c r="N32" i="12"/>
  <c r="M25" i="7"/>
  <c r="I37" i="4"/>
  <c r="J34" i="7"/>
  <c r="I37" i="7"/>
  <c r="I8" i="7"/>
  <c r="I36" i="7"/>
  <c r="G54" i="4"/>
  <c r="G55" i="4" s="1"/>
  <c r="G35" i="4"/>
  <c r="K28" i="4"/>
  <c r="M23" i="4"/>
  <c r="U23" i="4"/>
  <c r="Q23" i="4"/>
  <c r="N17" i="4"/>
  <c r="O17" i="4" s="1"/>
  <c r="P17" i="4" s="1"/>
  <c r="Q17" i="4" s="1"/>
  <c r="R17" i="4" s="1"/>
  <c r="S17" i="4" s="1"/>
  <c r="M19" i="4"/>
  <c r="M25" i="4"/>
  <c r="M21" i="4"/>
  <c r="K31" i="4"/>
  <c r="O21" i="4"/>
  <c r="S21" i="4"/>
  <c r="P21" i="4"/>
  <c r="T21" i="4"/>
  <c r="O19" i="4"/>
  <c r="Q21" i="4"/>
  <c r="U21" i="4"/>
  <c r="N21" i="4"/>
  <c r="R21" i="4"/>
  <c r="S23" i="4"/>
  <c r="O23" i="4"/>
  <c r="R23" i="4"/>
  <c r="N23" i="4"/>
  <c r="T23" i="4"/>
  <c r="P23" i="4"/>
  <c r="P19" i="4"/>
  <c r="K9" i="4" l="1"/>
  <c r="J9" i="4" s="1"/>
  <c r="I9" i="4" s="1"/>
  <c r="H9" i="4" s="1"/>
  <c r="G9" i="4" s="1"/>
  <c r="F9" i="4" s="1"/>
  <c r="F17" i="8"/>
  <c r="F50" i="4"/>
  <c r="F52" i="4" s="1"/>
  <c r="F43" i="4"/>
  <c r="H43" i="4"/>
  <c r="H50" i="4"/>
  <c r="H54" i="4"/>
  <c r="H55" i="4" s="1"/>
  <c r="H52" i="4"/>
  <c r="H35" i="4"/>
  <c r="K10" i="12"/>
  <c r="K33" i="12" s="1"/>
  <c r="J10" i="7"/>
  <c r="J26" i="7" s="1"/>
  <c r="H17" i="8"/>
  <c r="P48" i="4"/>
  <c r="L10" i="12"/>
  <c r="K10" i="7"/>
  <c r="H12" i="12"/>
  <c r="H13" i="12" s="1"/>
  <c r="G13" i="7"/>
  <c r="K47" i="4"/>
  <c r="K33" i="4"/>
  <c r="J35" i="4"/>
  <c r="J54" i="4"/>
  <c r="J55" i="4" s="1"/>
  <c r="F16" i="7"/>
  <c r="F11" i="7"/>
  <c r="I54" i="4"/>
  <c r="I55" i="4" s="1"/>
  <c r="I52" i="4"/>
  <c r="I35" i="4"/>
  <c r="G16" i="7"/>
  <c r="G11" i="7"/>
  <c r="J50" i="4"/>
  <c r="J52" i="4" s="1"/>
  <c r="J43" i="4"/>
  <c r="I43" i="4"/>
  <c r="I50" i="4"/>
  <c r="M20" i="4"/>
  <c r="I10" i="12"/>
  <c r="H10" i="7"/>
  <c r="I17" i="8"/>
  <c r="E17" i="8"/>
  <c r="G40" i="4"/>
  <c r="G41" i="4"/>
  <c r="G13" i="12"/>
  <c r="G11" i="12"/>
  <c r="I33" i="12"/>
  <c r="G17" i="8"/>
  <c r="K26" i="7"/>
  <c r="H11" i="12"/>
  <c r="K34" i="7"/>
  <c r="J8" i="7"/>
  <c r="J37" i="7"/>
  <c r="J36" i="7"/>
  <c r="I6" i="7"/>
  <c r="R92" i="7"/>
  <c r="R89" i="7"/>
  <c r="K32" i="4"/>
  <c r="K59" i="4"/>
  <c r="K60" i="4" s="1"/>
  <c r="K36" i="4"/>
  <c r="K37" i="4" s="1"/>
  <c r="Q19" i="4"/>
  <c r="M27" i="4"/>
  <c r="M28" i="4" s="1"/>
  <c r="O31" i="4"/>
  <c r="O48" i="4"/>
  <c r="M31" i="4"/>
  <c r="M48" i="4"/>
  <c r="K35" i="4"/>
  <c r="T17" i="4"/>
  <c r="S25" i="4"/>
  <c r="S27" i="4" s="1"/>
  <c r="N25" i="4"/>
  <c r="N27" i="4" s="1"/>
  <c r="R19" i="4"/>
  <c r="O25" i="4"/>
  <c r="O27" i="4" s="1"/>
  <c r="R25" i="4"/>
  <c r="R27" i="4" s="1"/>
  <c r="P25" i="4"/>
  <c r="P27" i="4" s="1"/>
  <c r="P28" i="4" s="1"/>
  <c r="N19" i="4"/>
  <c r="Q25" i="4"/>
  <c r="Q27" i="4" s="1"/>
  <c r="S19" i="4"/>
  <c r="Q20" i="4"/>
  <c r="P31" i="4"/>
  <c r="P20" i="4"/>
  <c r="M9" i="4" l="1"/>
  <c r="N9" i="4" s="1"/>
  <c r="O9" i="4" s="1"/>
  <c r="P9" i="4" s="1"/>
  <c r="Q9" i="4" s="1"/>
  <c r="R9" i="4" s="1"/>
  <c r="S9" i="4" s="1"/>
  <c r="T9" i="4" s="1"/>
  <c r="U9" i="4" s="1"/>
  <c r="V9" i="4" s="1"/>
  <c r="K12" i="12"/>
  <c r="K91" i="12" s="1"/>
  <c r="K95" i="12" s="1"/>
  <c r="K98" i="12" s="1"/>
  <c r="K100" i="12" s="1"/>
  <c r="J13" i="7"/>
  <c r="M10" i="12"/>
  <c r="M33" i="12" s="1"/>
  <c r="L10" i="7"/>
  <c r="M34" i="4"/>
  <c r="I34" i="12"/>
  <c r="I35" i="12" s="1"/>
  <c r="H27" i="7"/>
  <c r="Q48" i="4"/>
  <c r="G7" i="8"/>
  <c r="K11" i="7"/>
  <c r="G8" i="8" s="1"/>
  <c r="L12" i="12"/>
  <c r="L91" i="12" s="1"/>
  <c r="L95" i="12" s="1"/>
  <c r="L98" i="12" s="1"/>
  <c r="L100" i="12" s="1"/>
  <c r="K13" i="7"/>
  <c r="N20" i="4"/>
  <c r="J10" i="12"/>
  <c r="J33" i="12" s="1"/>
  <c r="I10" i="7"/>
  <c r="N10" i="12"/>
  <c r="M10" i="7"/>
  <c r="M29" i="4"/>
  <c r="M30" i="4" s="1"/>
  <c r="H13" i="11"/>
  <c r="I12" i="12"/>
  <c r="I91" i="12" s="1"/>
  <c r="I95" i="12" s="1"/>
  <c r="I98" i="12" s="1"/>
  <c r="I100" i="12" s="1"/>
  <c r="H13" i="7"/>
  <c r="Q31" i="4"/>
  <c r="G50" i="4"/>
  <c r="G52" i="4" s="1"/>
  <c r="G43" i="4"/>
  <c r="H26" i="7"/>
  <c r="D7" i="8"/>
  <c r="H11" i="7"/>
  <c r="D8" i="8" s="1"/>
  <c r="O34" i="4"/>
  <c r="K34" i="12"/>
  <c r="K35" i="12" s="1"/>
  <c r="J27" i="7"/>
  <c r="P34" i="4"/>
  <c r="L34" i="12"/>
  <c r="L35" i="12" s="1"/>
  <c r="K27" i="7"/>
  <c r="F7" i="8"/>
  <c r="J11" i="7"/>
  <c r="F8" i="8" s="1"/>
  <c r="L33" i="12"/>
  <c r="L34" i="7"/>
  <c r="K8" i="7"/>
  <c r="K36" i="7"/>
  <c r="J6" i="7"/>
  <c r="K6" i="7" s="1"/>
  <c r="L6" i="7" s="1"/>
  <c r="M6" i="7" s="1"/>
  <c r="N6" i="7" s="1"/>
  <c r="R93" i="7"/>
  <c r="R90" i="7"/>
  <c r="K54" i="4"/>
  <c r="K55" i="4" s="1"/>
  <c r="K62" i="4"/>
  <c r="K38" i="4" s="1"/>
  <c r="K49" i="4" s="1"/>
  <c r="M59" i="4"/>
  <c r="S28" i="4"/>
  <c r="N31" i="4"/>
  <c r="Q29" i="4"/>
  <c r="N28" i="4"/>
  <c r="O47" i="4"/>
  <c r="O54" i="4" s="1"/>
  <c r="O55" i="4" s="1"/>
  <c r="O36" i="4"/>
  <c r="O37" i="4" s="1"/>
  <c r="O20" i="4"/>
  <c r="N48" i="4"/>
  <c r="R31" i="4"/>
  <c r="R48" i="4"/>
  <c r="S31" i="4"/>
  <c r="S33" i="4" s="1"/>
  <c r="S48" i="4"/>
  <c r="S34" i="4" s="1"/>
  <c r="M33" i="4"/>
  <c r="M36" i="4"/>
  <c r="M37" i="4" s="1"/>
  <c r="M47" i="4"/>
  <c r="M54" i="4" s="1"/>
  <c r="M55" i="4" s="1"/>
  <c r="N47" i="4"/>
  <c r="P47" i="4"/>
  <c r="P54" i="4" s="1"/>
  <c r="P55" i="4" s="1"/>
  <c r="P36" i="4"/>
  <c r="P37" i="4" s="1"/>
  <c r="Q28" i="4"/>
  <c r="R28" i="4"/>
  <c r="Q47" i="4"/>
  <c r="Q54" i="4" s="1"/>
  <c r="Q55" i="4" s="1"/>
  <c r="R33" i="4"/>
  <c r="R20" i="4"/>
  <c r="S20" i="4"/>
  <c r="P29" i="4"/>
  <c r="P33" i="4"/>
  <c r="Q33" i="4"/>
  <c r="N29" i="4"/>
  <c r="N33" i="4"/>
  <c r="O29" i="4"/>
  <c r="O28" i="4"/>
  <c r="U17" i="4"/>
  <c r="T25" i="4"/>
  <c r="T27" i="4" s="1"/>
  <c r="T19" i="4"/>
  <c r="T48" i="4" s="1"/>
  <c r="T34" i="4" s="1"/>
  <c r="H15" i="11" l="1"/>
  <c r="C10" i="14" s="1"/>
  <c r="K11" i="11"/>
  <c r="E19" i="11"/>
  <c r="L13" i="12"/>
  <c r="L14" i="12"/>
  <c r="K15" i="7"/>
  <c r="K14" i="12"/>
  <c r="K16" i="12" s="1"/>
  <c r="J15" i="7"/>
  <c r="M12" i="12"/>
  <c r="M91" i="12" s="1"/>
  <c r="M95" i="12" s="1"/>
  <c r="M98" i="12" s="1"/>
  <c r="M100" i="12" s="1"/>
  <c r="L13" i="7"/>
  <c r="Q34" i="4"/>
  <c r="M34" i="12"/>
  <c r="M35" i="12" s="1"/>
  <c r="L27" i="7"/>
  <c r="H7" i="8"/>
  <c r="L11" i="7"/>
  <c r="H8" i="8" s="1"/>
  <c r="L26" i="7"/>
  <c r="R34" i="4"/>
  <c r="N34" i="12"/>
  <c r="N35" i="12" s="1"/>
  <c r="M27" i="7"/>
  <c r="J12" i="12"/>
  <c r="J91" i="12" s="1"/>
  <c r="J95" i="12" s="1"/>
  <c r="J98" i="12" s="1"/>
  <c r="J100" i="12" s="1"/>
  <c r="I13" i="7"/>
  <c r="D10" i="8"/>
  <c r="H14" i="7"/>
  <c r="D11" i="8" s="1"/>
  <c r="N10" i="7"/>
  <c r="I7" i="8"/>
  <c r="J7" i="8" s="1"/>
  <c r="M11" i="7"/>
  <c r="I8" i="8" s="1"/>
  <c r="M26" i="7"/>
  <c r="D18" i="8"/>
  <c r="H28" i="7"/>
  <c r="N12" i="12"/>
  <c r="N91" i="12" s="1"/>
  <c r="N95" i="12" s="1"/>
  <c r="N98" i="12" s="1"/>
  <c r="N100" i="12" s="1"/>
  <c r="M13" i="7"/>
  <c r="G18" i="8"/>
  <c r="K28" i="7"/>
  <c r="F18" i="8"/>
  <c r="J28" i="7"/>
  <c r="I13" i="12"/>
  <c r="O10" i="12"/>
  <c r="N33" i="12"/>
  <c r="K17" i="7"/>
  <c r="G10" i="8"/>
  <c r="K14" i="7"/>
  <c r="G11" i="8" s="1"/>
  <c r="F10" i="8"/>
  <c r="J17" i="7"/>
  <c r="J14" i="7"/>
  <c r="F11" i="8" s="1"/>
  <c r="Q30" i="4"/>
  <c r="R29" i="4"/>
  <c r="R30" i="4" s="1"/>
  <c r="O33" i="4"/>
  <c r="N34" i="4"/>
  <c r="J34" i="12"/>
  <c r="J35" i="12" s="1"/>
  <c r="I27" i="7"/>
  <c r="E7" i="8"/>
  <c r="I11" i="7"/>
  <c r="E8" i="8" s="1"/>
  <c r="I26" i="7"/>
  <c r="L16" i="12"/>
  <c r="I14" i="12"/>
  <c r="H15" i="7"/>
  <c r="K13" i="12"/>
  <c r="K37" i="7"/>
  <c r="M34" i="7"/>
  <c r="L8" i="7"/>
  <c r="L36" i="7"/>
  <c r="M60" i="4"/>
  <c r="M62" i="4"/>
  <c r="M38" i="4" s="1"/>
  <c r="K39" i="4"/>
  <c r="T28" i="4"/>
  <c r="S29" i="4"/>
  <c r="S30" i="4" s="1"/>
  <c r="S47" i="4"/>
  <c r="S54" i="4" s="1"/>
  <c r="S55" i="4" s="1"/>
  <c r="S36" i="4"/>
  <c r="S37" i="4" s="1"/>
  <c r="O30" i="4"/>
  <c r="N54" i="4"/>
  <c r="N55" i="4" s="1"/>
  <c r="R36" i="4"/>
  <c r="R37" i="4" s="1"/>
  <c r="R47" i="4"/>
  <c r="R54" i="4" s="1"/>
  <c r="R55" i="4" s="1"/>
  <c r="P30" i="4"/>
  <c r="N30" i="4"/>
  <c r="T31" i="4"/>
  <c r="T20" i="4"/>
  <c r="V17" i="4"/>
  <c r="U25" i="4"/>
  <c r="U27" i="4" s="1"/>
  <c r="U19" i="4"/>
  <c r="U48" i="4" s="1"/>
  <c r="U34" i="4" s="1"/>
  <c r="D14" i="11" l="1"/>
  <c r="D13" i="11"/>
  <c r="E30" i="11"/>
  <c r="K35" i="11"/>
  <c r="S32" i="14" s="1"/>
  <c r="H18" i="11"/>
  <c r="I18" i="8"/>
  <c r="M28" i="7"/>
  <c r="J23" i="7"/>
  <c r="J24" i="7" s="1"/>
  <c r="F12" i="8"/>
  <c r="J16" i="7"/>
  <c r="M14" i="12"/>
  <c r="L15" i="7"/>
  <c r="Q36" i="4"/>
  <c r="Q37" i="4" s="1"/>
  <c r="K31" i="12"/>
  <c r="K15" i="12"/>
  <c r="H23" i="7"/>
  <c r="H24" i="7" s="1"/>
  <c r="D12" i="8"/>
  <c r="D16" i="8" s="1"/>
  <c r="H16" i="7"/>
  <c r="I31" i="12"/>
  <c r="I15" i="12"/>
  <c r="N36" i="4"/>
  <c r="N37" i="4" s="1"/>
  <c r="J14" i="12"/>
  <c r="J16" i="12" s="1"/>
  <c r="I15" i="7"/>
  <c r="I16" i="12"/>
  <c r="L17" i="12"/>
  <c r="J19" i="7"/>
  <c r="J18" i="7"/>
  <c r="K19" i="7"/>
  <c r="K18" i="7"/>
  <c r="N59" i="4"/>
  <c r="K17" i="12"/>
  <c r="E18" i="8"/>
  <c r="I28" i="7"/>
  <c r="N13" i="7"/>
  <c r="I10" i="8"/>
  <c r="M14" i="7"/>
  <c r="I11" i="8" s="1"/>
  <c r="E10" i="8"/>
  <c r="I17" i="7"/>
  <c r="I14" i="7"/>
  <c r="E11" i="8" s="1"/>
  <c r="N14" i="12"/>
  <c r="N16" i="12" s="1"/>
  <c r="M15" i="7"/>
  <c r="L17" i="7"/>
  <c r="H10" i="8"/>
  <c r="L14" i="7"/>
  <c r="H11" i="8" s="1"/>
  <c r="K23" i="7"/>
  <c r="K24" i="7" s="1"/>
  <c r="G12" i="8"/>
  <c r="G16" i="8" s="1"/>
  <c r="K16" i="7"/>
  <c r="N13" i="12"/>
  <c r="O12" i="12"/>
  <c r="H17" i="7"/>
  <c r="J13" i="12"/>
  <c r="H18" i="8"/>
  <c r="L28" i="7"/>
  <c r="M16" i="12"/>
  <c r="M13" i="12"/>
  <c r="L31" i="12"/>
  <c r="L15" i="12"/>
  <c r="L37" i="7"/>
  <c r="C52" i="7"/>
  <c r="M37" i="7"/>
  <c r="M8" i="7"/>
  <c r="C48" i="7" s="1"/>
  <c r="J57" i="7" s="1"/>
  <c r="M36" i="7"/>
  <c r="K40" i="4"/>
  <c r="K41" i="4"/>
  <c r="K50" i="4" s="1"/>
  <c r="M39" i="4"/>
  <c r="M49" i="4"/>
  <c r="N60" i="4"/>
  <c r="O59" i="4" s="1"/>
  <c r="T47" i="4"/>
  <c r="T54" i="4" s="1"/>
  <c r="T55" i="4" s="1"/>
  <c r="T36" i="4"/>
  <c r="T37" i="4" s="1"/>
  <c r="V25" i="4"/>
  <c r="V27" i="4" s="1"/>
  <c r="V19" i="4"/>
  <c r="V48" i="4" s="1"/>
  <c r="V34" i="4" s="1"/>
  <c r="U31" i="4"/>
  <c r="U20" i="4"/>
  <c r="T33" i="4"/>
  <c r="T29" i="4"/>
  <c r="T30" i="4" s="1"/>
  <c r="U28" i="4"/>
  <c r="D18" i="11" l="1"/>
  <c r="C12" i="14"/>
  <c r="H81" i="12"/>
  <c r="E14" i="11"/>
  <c r="H71" i="12"/>
  <c r="I68" i="12" s="1"/>
  <c r="E13" i="11"/>
  <c r="K38" i="11"/>
  <c r="K41" i="11" s="1"/>
  <c r="E28" i="11"/>
  <c r="J53" i="7"/>
  <c r="J52" i="7"/>
  <c r="J50" i="7"/>
  <c r="K50" i="7" s="1"/>
  <c r="J56" i="7"/>
  <c r="J54" i="7"/>
  <c r="N17" i="12"/>
  <c r="O16" i="12"/>
  <c r="I12" i="8"/>
  <c r="I16" i="8" s="1"/>
  <c r="M23" i="7"/>
  <c r="M24" i="7" s="1"/>
  <c r="M16" i="7"/>
  <c r="M17" i="7"/>
  <c r="E12" i="8"/>
  <c r="E16" i="8" s="1"/>
  <c r="I23" i="7"/>
  <c r="I24" i="7" s="1"/>
  <c r="I16" i="7"/>
  <c r="H12" i="8"/>
  <c r="H16" i="8" s="1"/>
  <c r="L23" i="7"/>
  <c r="L24" i="7" s="1"/>
  <c r="L16" i="7"/>
  <c r="M17" i="12"/>
  <c r="J17" i="12"/>
  <c r="N15" i="12"/>
  <c r="N31" i="12"/>
  <c r="K21" i="7"/>
  <c r="G13" i="8"/>
  <c r="G14" i="8" s="1"/>
  <c r="J15" i="12"/>
  <c r="J31" i="12"/>
  <c r="M31" i="12"/>
  <c r="M15" i="12"/>
  <c r="J51" i="7"/>
  <c r="J58" i="7"/>
  <c r="K58" i="7" s="1"/>
  <c r="N62" i="4"/>
  <c r="N38" i="4" s="1"/>
  <c r="J55" i="7"/>
  <c r="H19" i="7"/>
  <c r="H18" i="7"/>
  <c r="J10" i="8"/>
  <c r="I17" i="12"/>
  <c r="L19" i="7"/>
  <c r="L18" i="7"/>
  <c r="I21" i="7"/>
  <c r="I18" i="7"/>
  <c r="I19" i="7"/>
  <c r="E13" i="8" s="1"/>
  <c r="J21" i="7"/>
  <c r="F13" i="8"/>
  <c r="F14" i="8" s="1"/>
  <c r="F16" i="8"/>
  <c r="C50" i="7"/>
  <c r="K51" i="7" s="1"/>
  <c r="K53" i="7"/>
  <c r="K55" i="7"/>
  <c r="K57" i="7"/>
  <c r="K52" i="7"/>
  <c r="K56" i="7"/>
  <c r="K54" i="7"/>
  <c r="M40" i="4"/>
  <c r="N39" i="4"/>
  <c r="N49" i="4"/>
  <c r="K52" i="4"/>
  <c r="K43" i="4"/>
  <c r="O60" i="4"/>
  <c r="P59" i="4" s="1"/>
  <c r="O62" i="4"/>
  <c r="O38" i="4" s="1"/>
  <c r="U36" i="4"/>
  <c r="U37" i="4" s="1"/>
  <c r="U47" i="4"/>
  <c r="U54" i="4" s="1"/>
  <c r="U55" i="4" s="1"/>
  <c r="U33" i="4"/>
  <c r="U29" i="4"/>
  <c r="U30" i="4" s="1"/>
  <c r="V20" i="4"/>
  <c r="V31" i="4"/>
  <c r="V28" i="4"/>
  <c r="E18" i="11" l="1"/>
  <c r="S30" i="14"/>
  <c r="N19" i="12"/>
  <c r="N30" i="12" s="1"/>
  <c r="J19" i="12"/>
  <c r="J30" i="12" s="1"/>
  <c r="K19" i="12"/>
  <c r="K30" i="12" s="1"/>
  <c r="M19" i="12"/>
  <c r="M30" i="12" s="1"/>
  <c r="I19" i="12"/>
  <c r="I30" i="12" s="1"/>
  <c r="L19" i="12"/>
  <c r="L30" i="12" s="1"/>
  <c r="D20" i="11"/>
  <c r="S33" i="14" s="1"/>
  <c r="I78" i="12"/>
  <c r="H90" i="12"/>
  <c r="H94" i="12" s="1"/>
  <c r="G19" i="8"/>
  <c r="G15" i="8"/>
  <c r="F15" i="8"/>
  <c r="F19" i="8"/>
  <c r="H19" i="8"/>
  <c r="I29" i="7"/>
  <c r="I32" i="7"/>
  <c r="I22" i="7"/>
  <c r="J29" i="7"/>
  <c r="J32" i="7"/>
  <c r="J22" i="7"/>
  <c r="H21" i="7"/>
  <c r="D13" i="8"/>
  <c r="D14" i="8" s="1"/>
  <c r="N17" i="7"/>
  <c r="M19" i="7"/>
  <c r="M18" i="7"/>
  <c r="L21" i="7"/>
  <c r="H13" i="8"/>
  <c r="H14" i="8" s="1"/>
  <c r="H15" i="8" s="1"/>
  <c r="K32" i="7"/>
  <c r="K29" i="7"/>
  <c r="K22" i="7"/>
  <c r="E14" i="8"/>
  <c r="T84" i="7" a="1"/>
  <c r="P60" i="4"/>
  <c r="Q59" i="4" s="1"/>
  <c r="N41" i="4"/>
  <c r="N40" i="4"/>
  <c r="O39" i="4"/>
  <c r="O49" i="4"/>
  <c r="M50" i="4"/>
  <c r="M52" i="4" s="1"/>
  <c r="M43" i="4"/>
  <c r="V36" i="4"/>
  <c r="V37" i="4" s="1"/>
  <c r="V47" i="4"/>
  <c r="V54" i="4" s="1"/>
  <c r="V55" i="4" s="1"/>
  <c r="V29" i="4"/>
  <c r="V30" i="4" s="1"/>
  <c r="V33" i="4"/>
  <c r="S34" i="14" l="1"/>
  <c r="D21" i="11"/>
  <c r="E20" i="11"/>
  <c r="M21" i="7"/>
  <c r="I13" i="8"/>
  <c r="I14" i="8" s="1"/>
  <c r="H21" i="8"/>
  <c r="H20" i="8"/>
  <c r="F20" i="8"/>
  <c r="F21" i="8"/>
  <c r="Q29" i="8"/>
  <c r="V29" i="8"/>
  <c r="R29" i="8"/>
  <c r="X29" i="8"/>
  <c r="T29" i="8"/>
  <c r="Y29" i="8"/>
  <c r="U29" i="8"/>
  <c r="Z29" i="8"/>
  <c r="P62" i="4"/>
  <c r="P38" i="4" s="1"/>
  <c r="E15" i="8"/>
  <c r="E19" i="8"/>
  <c r="K38" i="7"/>
  <c r="K30" i="7"/>
  <c r="K31" i="7"/>
  <c r="L22" i="7"/>
  <c r="L29" i="7"/>
  <c r="L32" i="7"/>
  <c r="C54" i="7" s="1"/>
  <c r="D19" i="8"/>
  <c r="D15" i="8"/>
  <c r="J38" i="7"/>
  <c r="J30" i="7"/>
  <c r="J31" i="7"/>
  <c r="H22" i="7"/>
  <c r="H32" i="7"/>
  <c r="H29" i="7"/>
  <c r="I38" i="7"/>
  <c r="I31" i="7"/>
  <c r="I30" i="7"/>
  <c r="G20" i="8"/>
  <c r="G21" i="8"/>
  <c r="T84" i="7"/>
  <c r="P29" i="8" s="1"/>
  <c r="N50" i="4"/>
  <c r="N52" i="4" s="1"/>
  <c r="N43" i="4"/>
  <c r="P49" i="4"/>
  <c r="P39" i="4"/>
  <c r="O40" i="4"/>
  <c r="O41" i="4"/>
  <c r="Q60" i="4"/>
  <c r="R59" i="4" s="1"/>
  <c r="I44" i="7" l="1"/>
  <c r="I45" i="7"/>
  <c r="J45" i="7"/>
  <c r="J44" i="7"/>
  <c r="K44" i="7"/>
  <c r="K45" i="7"/>
  <c r="T30" i="14"/>
  <c r="T31" i="14"/>
  <c r="T33" i="14"/>
  <c r="T32" i="14"/>
  <c r="D15" i="11"/>
  <c r="E21" i="11"/>
  <c r="J69" i="7"/>
  <c r="J71" i="7"/>
  <c r="J65" i="7"/>
  <c r="J67" i="7"/>
  <c r="J70" i="7"/>
  <c r="J68" i="7"/>
  <c r="J63" i="7"/>
  <c r="J66" i="7"/>
  <c r="J64" i="7"/>
  <c r="L50" i="7"/>
  <c r="L54" i="7"/>
  <c r="L58" i="7"/>
  <c r="L55" i="7"/>
  <c r="L52" i="7"/>
  <c r="L56" i="7"/>
  <c r="L53" i="7"/>
  <c r="L57" i="7"/>
  <c r="L51" i="7"/>
  <c r="N21" i="7"/>
  <c r="M22" i="7"/>
  <c r="M32" i="7"/>
  <c r="N32" i="7" s="1"/>
  <c r="M29" i="7"/>
  <c r="I43" i="7"/>
  <c r="H38" i="7"/>
  <c r="H31" i="7"/>
  <c r="H30" i="7"/>
  <c r="E20" i="8"/>
  <c r="E21" i="8"/>
  <c r="D21" i="8"/>
  <c r="D20" i="8"/>
  <c r="J14" i="8"/>
  <c r="I19" i="8"/>
  <c r="I15" i="8"/>
  <c r="Q62" i="4"/>
  <c r="Q38" i="4" s="1"/>
  <c r="J43" i="7"/>
  <c r="L38" i="7"/>
  <c r="L31" i="7"/>
  <c r="L30" i="7"/>
  <c r="K43" i="7"/>
  <c r="Q39" i="4"/>
  <c r="Q49" i="4"/>
  <c r="P40" i="4"/>
  <c r="P41" i="4"/>
  <c r="R60" i="4"/>
  <c r="S59" i="4" s="1"/>
  <c r="R62" i="4"/>
  <c r="R38" i="4" s="1"/>
  <c r="O43" i="4"/>
  <c r="O50" i="4"/>
  <c r="O52" i="4" s="1"/>
  <c r="W100" i="7" l="1" a="1"/>
  <c r="L44" i="7"/>
  <c r="L45" i="7"/>
  <c r="H45" i="7"/>
  <c r="H44" i="7"/>
  <c r="E15" i="11"/>
  <c r="D12" i="11"/>
  <c r="O30" i="14" s="1"/>
  <c r="L43" i="7"/>
  <c r="L66" i="7"/>
  <c r="K66" i="7"/>
  <c r="N29" i="7"/>
  <c r="M38" i="7"/>
  <c r="M30" i="7"/>
  <c r="M31" i="7"/>
  <c r="Z100" i="7" a="1"/>
  <c r="L63" i="7"/>
  <c r="K63" i="7"/>
  <c r="L65" i="7"/>
  <c r="K65" i="7"/>
  <c r="W100" i="7"/>
  <c r="T32" i="8" s="1"/>
  <c r="V32" i="8"/>
  <c r="U32" i="8"/>
  <c r="K67" i="7"/>
  <c r="L67" i="7"/>
  <c r="H43" i="7"/>
  <c r="T100" i="7" a="1"/>
  <c r="K68" i="7"/>
  <c r="L68" i="7"/>
  <c r="K71" i="7"/>
  <c r="L71" i="7"/>
  <c r="I21" i="8"/>
  <c r="I20" i="8"/>
  <c r="J19" i="8"/>
  <c r="L64" i="7"/>
  <c r="K64" i="7"/>
  <c r="L70" i="7"/>
  <c r="K70" i="7"/>
  <c r="K69" i="7"/>
  <c r="L69" i="7"/>
  <c r="P43" i="4"/>
  <c r="P50" i="4"/>
  <c r="P52" i="4" s="1"/>
  <c r="R39" i="4"/>
  <c r="R49" i="4"/>
  <c r="S60" i="4"/>
  <c r="T59" i="4" s="1"/>
  <c r="Q40" i="4"/>
  <c r="Q41" i="4"/>
  <c r="Z108" i="7" l="1" a="1"/>
  <c r="M44" i="7"/>
  <c r="M45" i="7"/>
  <c r="O34" i="14"/>
  <c r="P30" i="14" s="1"/>
  <c r="H30" i="11"/>
  <c r="E12" i="11"/>
  <c r="H103" i="12"/>
  <c r="W124" i="7" a="1"/>
  <c r="W124" i="7" s="1"/>
  <c r="T108" i="7" a="1"/>
  <c r="Z108" i="7"/>
  <c r="Y45" i="8"/>
  <c r="Z45" i="8"/>
  <c r="T100" i="7"/>
  <c r="P32" i="8" s="1"/>
  <c r="R32" i="8"/>
  <c r="Q32" i="8"/>
  <c r="T124" i="7" a="1"/>
  <c r="T124" i="7" s="1"/>
  <c r="N38" i="7"/>
  <c r="M43" i="7"/>
  <c r="N43" i="7" s="1"/>
  <c r="Z124" i="7" a="1"/>
  <c r="Z124" i="7" s="1"/>
  <c r="N45" i="7"/>
  <c r="N44" i="7"/>
  <c r="S62" i="4"/>
  <c r="S38" i="4" s="1"/>
  <c r="Z100" i="7"/>
  <c r="X32" i="8" s="1"/>
  <c r="Y32" i="8"/>
  <c r="Z32" i="8"/>
  <c r="W108" i="7" a="1"/>
  <c r="R41" i="4"/>
  <c r="R40" i="4"/>
  <c r="Q43" i="4"/>
  <c r="Q50" i="4"/>
  <c r="Q52" i="4" s="1"/>
  <c r="S39" i="4"/>
  <c r="S49" i="4"/>
  <c r="T60" i="4"/>
  <c r="U59" i="4" s="1"/>
  <c r="P31" i="14" l="1"/>
  <c r="P32" i="14"/>
  <c r="W108" i="7"/>
  <c r="V45" i="8"/>
  <c r="U45" i="8"/>
  <c r="X45" i="8"/>
  <c r="T107" i="7" a="1"/>
  <c r="Z83" i="7" a="1"/>
  <c r="T83" i="7" a="1"/>
  <c r="W83" i="7" a="1"/>
  <c r="W107" i="7" a="1"/>
  <c r="Z107" i="7" a="1"/>
  <c r="T108" i="7"/>
  <c r="Q45" i="8"/>
  <c r="R45" i="8"/>
  <c r="T62" i="4"/>
  <c r="T38" i="4" s="1"/>
  <c r="U60" i="4"/>
  <c r="V59" i="4" s="1"/>
  <c r="S40" i="4"/>
  <c r="S41" i="4"/>
  <c r="R50" i="4"/>
  <c r="R52" i="4" s="1"/>
  <c r="R43" i="4"/>
  <c r="U44" i="8" l="1"/>
  <c r="U46" i="8" s="1"/>
  <c r="V44" i="8"/>
  <c r="V46" i="8" s="1"/>
  <c r="Y109" i="7"/>
  <c r="Y120" i="7" s="1"/>
  <c r="W107" i="7"/>
  <c r="X109" i="7"/>
  <c r="V28" i="8"/>
  <c r="V30" i="8" s="1"/>
  <c r="U28" i="8"/>
  <c r="U30" i="8" s="1"/>
  <c r="W83" i="7"/>
  <c r="X85" i="7"/>
  <c r="Y85" i="7"/>
  <c r="T45" i="8"/>
  <c r="T107" i="7"/>
  <c r="R44" i="8"/>
  <c r="R46" i="8" s="1"/>
  <c r="Q44" i="8"/>
  <c r="Q46" i="8" s="1"/>
  <c r="U109" i="7"/>
  <c r="U120" i="7" s="1"/>
  <c r="V109" i="7"/>
  <c r="P45" i="8"/>
  <c r="T83" i="7"/>
  <c r="Q28" i="8"/>
  <c r="Q30" i="8" s="1"/>
  <c r="R28" i="8"/>
  <c r="R30" i="8" s="1"/>
  <c r="V85" i="7"/>
  <c r="U85" i="7"/>
  <c r="U96" i="7" s="1"/>
  <c r="U62" i="4"/>
  <c r="U38" i="4" s="1"/>
  <c r="U49" i="4" s="1"/>
  <c r="Y44" i="8"/>
  <c r="Y46" i="8" s="1"/>
  <c r="Z44" i="8"/>
  <c r="Z46" i="8" s="1"/>
  <c r="Z107" i="7"/>
  <c r="AB109" i="7"/>
  <c r="AB120" i="7" s="1"/>
  <c r="AA109" i="7"/>
  <c r="AA120" i="7" s="1"/>
  <c r="Y28" i="8"/>
  <c r="Y30" i="8" s="1"/>
  <c r="Z28" i="8"/>
  <c r="Z30" i="8" s="1"/>
  <c r="Z83" i="7"/>
  <c r="AA85" i="7"/>
  <c r="AB85" i="7"/>
  <c r="V60" i="4"/>
  <c r="V62" i="4" s="1"/>
  <c r="V38" i="4" s="1"/>
  <c r="S50" i="4"/>
  <c r="S52" i="4" s="1"/>
  <c r="S43" i="4"/>
  <c r="T49" i="4"/>
  <c r="T39" i="4"/>
  <c r="U97" i="7" l="1"/>
  <c r="U89" i="7"/>
  <c r="Q35" i="8" s="1"/>
  <c r="U87" i="7"/>
  <c r="U90" i="7"/>
  <c r="U93" i="7"/>
  <c r="U92" i="7"/>
  <c r="Q36" i="8" s="1"/>
  <c r="V111" i="7"/>
  <c r="V114" i="7"/>
  <c r="V113" i="7"/>
  <c r="R49" i="8" s="1"/>
  <c r="V117" i="7"/>
  <c r="V116" i="7"/>
  <c r="R50" i="8" s="1"/>
  <c r="V121" i="7"/>
  <c r="X89" i="7"/>
  <c r="U35" i="8" s="1"/>
  <c r="X93" i="7"/>
  <c r="X90" i="7"/>
  <c r="X87" i="7"/>
  <c r="X97" i="7"/>
  <c r="X92" i="7"/>
  <c r="U36" i="8" s="1"/>
  <c r="X111" i="7"/>
  <c r="X117" i="7"/>
  <c r="X116" i="7"/>
  <c r="U50" i="8" s="1"/>
  <c r="X114" i="7"/>
  <c r="X113" i="7"/>
  <c r="U49" i="8" s="1"/>
  <c r="X121" i="7"/>
  <c r="X120" i="7"/>
  <c r="AB92" i="7"/>
  <c r="Z36" i="8" s="1"/>
  <c r="AB87" i="7"/>
  <c r="AB93" i="7"/>
  <c r="AB89" i="7"/>
  <c r="Z35" i="8" s="1"/>
  <c r="AB90" i="7"/>
  <c r="AB97" i="7"/>
  <c r="Y93" i="7"/>
  <c r="Y97" i="7"/>
  <c r="Y90" i="7"/>
  <c r="Y92" i="7"/>
  <c r="V36" i="8" s="1"/>
  <c r="Y87" i="7"/>
  <c r="Y89" i="7"/>
  <c r="V35" i="8" s="1"/>
  <c r="AA97" i="7"/>
  <c r="AA93" i="7"/>
  <c r="AA87" i="7"/>
  <c r="AA89" i="7"/>
  <c r="Y35" i="8" s="1"/>
  <c r="AA90" i="7"/>
  <c r="AA92" i="7"/>
  <c r="Y36" i="8" s="1"/>
  <c r="U39" i="4"/>
  <c r="AB96" i="7"/>
  <c r="X28" i="8"/>
  <c r="X30" i="8" s="1"/>
  <c r="Z85" i="7"/>
  <c r="Z96" i="7" s="1"/>
  <c r="AB111" i="7"/>
  <c r="AB117" i="7"/>
  <c r="AB116" i="7"/>
  <c r="Z50" i="8" s="1"/>
  <c r="AB114" i="7"/>
  <c r="AB113" i="7"/>
  <c r="Z49" i="8" s="1"/>
  <c r="AB121" i="7"/>
  <c r="V90" i="7"/>
  <c r="V89" i="7"/>
  <c r="R35" i="8" s="1"/>
  <c r="V93" i="7"/>
  <c r="V97" i="7"/>
  <c r="V87" i="7"/>
  <c r="V92" i="7"/>
  <c r="R36" i="8" s="1"/>
  <c r="P28" i="8"/>
  <c r="P30" i="8" s="1"/>
  <c r="T85" i="7"/>
  <c r="T96" i="7" s="1"/>
  <c r="U111" i="7"/>
  <c r="U114" i="7"/>
  <c r="U113" i="7"/>
  <c r="Q49" i="8" s="1"/>
  <c r="U117" i="7"/>
  <c r="U116" i="7"/>
  <c r="Q50" i="8" s="1"/>
  <c r="U121" i="7"/>
  <c r="V120" i="7"/>
  <c r="Y96" i="7"/>
  <c r="T28" i="8"/>
  <c r="T30" i="8" s="1"/>
  <c r="W85" i="7"/>
  <c r="T44" i="8"/>
  <c r="T46" i="8" s="1"/>
  <c r="W109" i="7"/>
  <c r="AA111" i="7"/>
  <c r="AA113" i="7"/>
  <c r="Y49" i="8" s="1"/>
  <c r="AA117" i="7"/>
  <c r="AA116" i="7"/>
  <c r="Y50" i="8" s="1"/>
  <c r="AA114" i="7"/>
  <c r="AA121" i="7"/>
  <c r="AA96" i="7"/>
  <c r="X44" i="8"/>
  <c r="X46" i="8" s="1"/>
  <c r="Z109" i="7"/>
  <c r="Z120" i="7" s="1"/>
  <c r="V96" i="7"/>
  <c r="P44" i="8"/>
  <c r="P46" i="8" s="1"/>
  <c r="T109" i="7"/>
  <c r="T120" i="7" s="1"/>
  <c r="X96" i="7"/>
  <c r="Y111" i="7"/>
  <c r="Y114" i="7"/>
  <c r="Y113" i="7"/>
  <c r="V49" i="8" s="1"/>
  <c r="Y117" i="7"/>
  <c r="Y116" i="7"/>
  <c r="V50" i="8" s="1"/>
  <c r="Y121" i="7"/>
  <c r="T40" i="4"/>
  <c r="T41" i="4"/>
  <c r="V49" i="4"/>
  <c r="V39" i="4"/>
  <c r="U40" i="4"/>
  <c r="U41" i="4"/>
  <c r="W96" i="7" l="1"/>
  <c r="W97" i="7"/>
  <c r="W92" i="7"/>
  <c r="T36" i="8" s="1"/>
  <c r="W93" i="7"/>
  <c r="W87" i="7"/>
  <c r="W90" i="7"/>
  <c r="W89" i="7"/>
  <c r="T35" i="8" s="1"/>
  <c r="W111" i="7"/>
  <c r="W113" i="7"/>
  <c r="T49" i="8" s="1"/>
  <c r="W117" i="7"/>
  <c r="W116" i="7"/>
  <c r="T50" i="8" s="1"/>
  <c r="W114" i="7"/>
  <c r="W121" i="7"/>
  <c r="W120" i="7"/>
  <c r="Z97" i="7"/>
  <c r="Z93" i="7"/>
  <c r="Z89" i="7"/>
  <c r="X35" i="8" s="1"/>
  <c r="Z90" i="7"/>
  <c r="Z87" i="7"/>
  <c r="Z92" i="7"/>
  <c r="X36" i="8" s="1"/>
  <c r="T111" i="7"/>
  <c r="T117" i="7"/>
  <c r="T116" i="7"/>
  <c r="P50" i="8" s="1"/>
  <c r="T114" i="7"/>
  <c r="T113" i="7"/>
  <c r="P49" i="8" s="1"/>
  <c r="T121" i="7"/>
  <c r="Z111" i="7"/>
  <c r="Z114" i="7"/>
  <c r="Z113" i="7"/>
  <c r="X49" i="8" s="1"/>
  <c r="Z117" i="7"/>
  <c r="Z116" i="7"/>
  <c r="X50" i="8" s="1"/>
  <c r="Z121" i="7"/>
  <c r="T87" i="7"/>
  <c r="T89" i="7"/>
  <c r="P35" i="8" s="1"/>
  <c r="T93" i="7"/>
  <c r="T90" i="7"/>
  <c r="T92" i="7"/>
  <c r="P36" i="8" s="1"/>
  <c r="T97" i="7"/>
  <c r="V41" i="4"/>
  <c r="V40" i="4"/>
  <c r="U50" i="4"/>
  <c r="U52" i="4" s="1"/>
  <c r="U43" i="4"/>
  <c r="T50" i="4"/>
  <c r="T52" i="4" s="1"/>
  <c r="T43" i="4"/>
  <c r="V50" i="4" l="1"/>
  <c r="V52" i="4" s="1"/>
  <c r="V43" i="4"/>
  <c r="L103" i="12" l="1"/>
  <c r="L104" i="12"/>
  <c r="K103" i="12"/>
  <c r="K104" i="12"/>
  <c r="N103" i="12"/>
  <c r="N104" i="12"/>
  <c r="I18" i="12" l="1"/>
  <c r="J18" i="12"/>
  <c r="K18" i="12"/>
  <c r="L18" i="12"/>
  <c r="M18" i="12"/>
  <c r="N18" i="12"/>
  <c r="I20" i="12"/>
  <c r="J20" i="12"/>
  <c r="K20" i="12"/>
  <c r="L20" i="12"/>
  <c r="M20" i="12"/>
  <c r="N20" i="12"/>
  <c r="O20" i="12"/>
  <c r="I21" i="12"/>
  <c r="J21" i="12"/>
  <c r="K21" i="12"/>
  <c r="L21" i="12"/>
  <c r="M21" i="12"/>
  <c r="N21" i="12"/>
  <c r="I22" i="12"/>
  <c r="J22" i="12"/>
  <c r="K22" i="12"/>
  <c r="L22" i="12"/>
  <c r="M22" i="12"/>
  <c r="N22" i="12"/>
  <c r="I24" i="12"/>
  <c r="J24" i="12"/>
  <c r="K24" i="12"/>
  <c r="L24" i="12"/>
  <c r="M24" i="12"/>
  <c r="N24" i="12"/>
  <c r="O24" i="12"/>
  <c r="I25" i="12"/>
  <c r="J25" i="12"/>
  <c r="K25" i="12"/>
  <c r="L25" i="12"/>
  <c r="M25" i="12"/>
  <c r="N25" i="12"/>
  <c r="I29" i="12"/>
  <c r="J29" i="12"/>
  <c r="K29" i="12"/>
  <c r="L29" i="12"/>
  <c r="M29" i="12"/>
  <c r="N29" i="12"/>
  <c r="O29" i="12"/>
  <c r="I36" i="12"/>
  <c r="J36" i="12"/>
  <c r="K36" i="12"/>
  <c r="L36" i="12"/>
  <c r="M36" i="12"/>
  <c r="N36" i="12"/>
  <c r="O36" i="12"/>
  <c r="I37" i="12"/>
  <c r="J37" i="12"/>
  <c r="K37" i="12"/>
  <c r="L37" i="12"/>
  <c r="M37" i="12"/>
  <c r="N37" i="12"/>
  <c r="I38" i="12"/>
  <c r="J38" i="12"/>
  <c r="K38" i="12"/>
  <c r="L38" i="12"/>
  <c r="M38" i="12"/>
  <c r="N38" i="12"/>
  <c r="I39" i="12"/>
  <c r="J39" i="12"/>
  <c r="K39" i="12"/>
  <c r="L39" i="12"/>
  <c r="M39" i="12"/>
  <c r="N39" i="12"/>
  <c r="I40" i="12"/>
  <c r="J40" i="12"/>
  <c r="K40" i="12"/>
  <c r="L40" i="12"/>
  <c r="M40" i="12"/>
  <c r="N40" i="12"/>
  <c r="I41" i="12"/>
  <c r="J41" i="12"/>
  <c r="K41" i="12"/>
  <c r="L41" i="12"/>
  <c r="M41" i="12"/>
  <c r="N41" i="12"/>
  <c r="I48" i="12"/>
  <c r="J48" i="12"/>
  <c r="K48" i="12"/>
  <c r="L48" i="12"/>
  <c r="M48" i="12"/>
  <c r="N48" i="12"/>
  <c r="I49" i="12"/>
  <c r="J49" i="12"/>
  <c r="K49" i="12"/>
  <c r="L49" i="12"/>
  <c r="M49" i="12"/>
  <c r="N49" i="12"/>
  <c r="I50" i="12"/>
  <c r="J50" i="12"/>
  <c r="K50" i="12"/>
  <c r="L50" i="12"/>
  <c r="M50" i="12"/>
  <c r="N50" i="12"/>
  <c r="J56" i="12"/>
  <c r="K56" i="12"/>
  <c r="L56" i="12"/>
  <c r="M56" i="12"/>
  <c r="N56" i="12"/>
  <c r="I57" i="12"/>
  <c r="J57" i="12"/>
  <c r="K57" i="12"/>
  <c r="L57" i="12"/>
  <c r="M57" i="12"/>
  <c r="N57" i="12"/>
  <c r="I58" i="12"/>
  <c r="J58" i="12"/>
  <c r="K58" i="12"/>
  <c r="L58" i="12"/>
  <c r="M58" i="12"/>
  <c r="N58" i="12"/>
  <c r="I59" i="12"/>
  <c r="J59" i="12"/>
  <c r="K59" i="12"/>
  <c r="L59" i="12"/>
  <c r="M59" i="12"/>
  <c r="N59" i="12"/>
  <c r="I61" i="12"/>
  <c r="J61" i="12"/>
  <c r="K61" i="12"/>
  <c r="L61" i="12"/>
  <c r="M61" i="12"/>
  <c r="N61" i="12"/>
  <c r="I62" i="12"/>
  <c r="J62" i="12"/>
  <c r="K62" i="12"/>
  <c r="L62" i="12"/>
  <c r="M62" i="12"/>
  <c r="N62" i="12"/>
  <c r="I63" i="12"/>
  <c r="J63" i="12"/>
  <c r="K63" i="12"/>
  <c r="L63" i="12"/>
  <c r="M63" i="12"/>
  <c r="N63" i="12"/>
  <c r="I65" i="12"/>
  <c r="J65" i="12"/>
  <c r="K65" i="12"/>
  <c r="L65" i="12"/>
  <c r="M65" i="12"/>
  <c r="N65" i="12"/>
  <c r="J68" i="12"/>
  <c r="K68" i="12"/>
  <c r="L68" i="12"/>
  <c r="M68" i="12"/>
  <c r="N68" i="12"/>
  <c r="I69" i="12"/>
  <c r="J69" i="12"/>
  <c r="K69" i="12"/>
  <c r="L69" i="12"/>
  <c r="M69" i="12"/>
  <c r="N69" i="12"/>
  <c r="I70" i="12"/>
  <c r="J70" i="12"/>
  <c r="K70" i="12"/>
  <c r="L70" i="12"/>
  <c r="M70" i="12"/>
  <c r="N70" i="12"/>
  <c r="I71" i="12"/>
  <c r="J71" i="12"/>
  <c r="K71" i="12"/>
  <c r="L71" i="12"/>
  <c r="M71" i="12"/>
  <c r="N71" i="12"/>
  <c r="I73" i="12"/>
  <c r="J73" i="12"/>
  <c r="K73" i="12"/>
  <c r="L73" i="12"/>
  <c r="M73" i="12"/>
  <c r="N73" i="12"/>
  <c r="I75" i="12"/>
  <c r="J75" i="12"/>
  <c r="K75" i="12"/>
  <c r="L75" i="12"/>
  <c r="M75" i="12"/>
  <c r="N75" i="12"/>
  <c r="J78" i="12"/>
  <c r="K78" i="12"/>
  <c r="L78" i="12"/>
  <c r="M78" i="12"/>
  <c r="N78" i="12"/>
  <c r="I79" i="12"/>
  <c r="J79" i="12"/>
  <c r="K79" i="12"/>
  <c r="L79" i="12"/>
  <c r="M79" i="12"/>
  <c r="N79" i="12"/>
  <c r="I80" i="12"/>
  <c r="J80" i="12"/>
  <c r="K80" i="12"/>
  <c r="L80" i="12"/>
  <c r="M80" i="12"/>
  <c r="N80" i="12"/>
  <c r="I81" i="12"/>
  <c r="J81" i="12"/>
  <c r="K81" i="12"/>
  <c r="L81" i="12"/>
  <c r="M81" i="12"/>
  <c r="N81" i="12"/>
  <c r="I83" i="12"/>
  <c r="J83" i="12"/>
  <c r="K83" i="12"/>
  <c r="L83" i="12"/>
  <c r="M83" i="12"/>
  <c r="N83" i="12"/>
  <c r="I88" i="12"/>
  <c r="J88" i="12"/>
  <c r="K88" i="12"/>
  <c r="L88" i="12"/>
  <c r="M88" i="12"/>
  <c r="N88" i="12"/>
  <c r="I90" i="12"/>
  <c r="J90" i="12"/>
  <c r="K90" i="12"/>
  <c r="L90" i="12"/>
  <c r="M90" i="12"/>
  <c r="N90" i="12"/>
  <c r="I92" i="12"/>
  <c r="J92" i="12"/>
  <c r="K92" i="12"/>
  <c r="L92" i="12"/>
  <c r="M92" i="12"/>
  <c r="N92" i="12"/>
  <c r="I94" i="12"/>
  <c r="J94" i="12"/>
  <c r="K94" i="12"/>
  <c r="L94" i="12"/>
  <c r="M94" i="12"/>
  <c r="N94" i="12"/>
  <c r="I96" i="12"/>
  <c r="J96" i="12"/>
  <c r="K96" i="12"/>
  <c r="L96" i="12"/>
  <c r="M96" i="12"/>
  <c r="N96" i="12"/>
  <c r="I101" i="12"/>
  <c r="J101" i="12"/>
  <c r="K101" i="12"/>
  <c r="L101" i="12"/>
  <c r="M101" i="12"/>
  <c r="N101" i="12"/>
  <c r="I102" i="12"/>
  <c r="J102" i="12"/>
  <c r="K102" i="12"/>
  <c r="L102" i="12"/>
  <c r="M102" i="12"/>
  <c r="N102" i="12"/>
  <c r="M103" i="12"/>
  <c r="M104" i="12"/>
  <c r="E26" i="11"/>
  <c r="E27" i="11"/>
  <c r="E31" i="11"/>
  <c r="H38" i="11"/>
  <c r="H39" i="11"/>
  <c r="I39" i="11"/>
  <c r="H40" i="11"/>
  <c r="H41" i="11"/>
  <c r="P62" i="11"/>
  <c r="P73" i="11"/>
  <c r="P84" i="11"/>
  <c r="E11" i="14"/>
  <c r="E12" i="14"/>
  <c r="E13" i="14"/>
  <c r="E14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<sst xmlns="http://schemas.openxmlformats.org/spreadsheetml/2006/main" count="499" uniqueCount="284">
  <si>
    <t>Financial Model</t>
  </si>
  <si>
    <t>DCF</t>
  </si>
  <si>
    <t>LBO</t>
  </si>
  <si>
    <t>Operational Assumptions</t>
  </si>
  <si>
    <t>Model</t>
  </si>
  <si>
    <t>Morgan Stanley</t>
  </si>
  <si>
    <t>Assumptions</t>
  </si>
  <si>
    <t>Year #</t>
  </si>
  <si>
    <t>Year # (Mid-year Convention)</t>
  </si>
  <si>
    <t>Year</t>
  </si>
  <si>
    <t>Scenario in Use</t>
  </si>
  <si>
    <t>Volume</t>
  </si>
  <si>
    <t>% YoY Growth</t>
  </si>
  <si>
    <t>Scenario 1 - MS (Sponsor Guidance)</t>
  </si>
  <si>
    <t>Scenario 1 - Management</t>
  </si>
  <si>
    <t>Scenario 3 - MS (Conservative)</t>
  </si>
  <si>
    <t>Scenario 2 - Management</t>
  </si>
  <si>
    <t>Revenue</t>
  </si>
  <si>
    <t>Segment 1, % YoY Growth</t>
  </si>
  <si>
    <t>Scenario 1 - MS (Conservative)</t>
  </si>
  <si>
    <t>Segment 2, % YoY Growth</t>
  </si>
  <si>
    <t>Segment 3, % YoY Growth</t>
  </si>
  <si>
    <t>Gross Profit</t>
  </si>
  <si>
    <t>EBITDA</t>
  </si>
  <si>
    <t>Group Adj. % EBITDA Margin</t>
  </si>
  <si>
    <t>Capex &amp; Depreciation</t>
  </si>
  <si>
    <t>Capex % of Revenue</t>
  </si>
  <si>
    <t>D&amp;A % of Capex</t>
  </si>
  <si>
    <t>Tax</t>
  </si>
  <si>
    <t>Tax Rate</t>
  </si>
  <si>
    <t>NWC</t>
  </si>
  <si>
    <t>Change in NWC</t>
  </si>
  <si>
    <t>Debt</t>
  </si>
  <si>
    <t>Leverage</t>
  </si>
  <si>
    <t>Interest Rate</t>
  </si>
  <si>
    <t>Segment 1, Gross margin</t>
  </si>
  <si>
    <t>Segment 2, Gross margin</t>
  </si>
  <si>
    <t>Segment 3, Gross margin</t>
  </si>
  <si>
    <t>$ MM, unless otherwise stated</t>
  </si>
  <si>
    <t>Income Statement</t>
  </si>
  <si>
    <t>Segment 1</t>
  </si>
  <si>
    <t>Segment 2</t>
  </si>
  <si>
    <t>Segment 3</t>
  </si>
  <si>
    <t>Total Revenue</t>
  </si>
  <si>
    <t>Total Gross Profit</t>
  </si>
  <si>
    <t>% Margin</t>
  </si>
  <si>
    <t>Total Opex</t>
  </si>
  <si>
    <t>Total Adjusted EBITDA</t>
  </si>
  <si>
    <t>D&amp;A</t>
  </si>
  <si>
    <t>% D&amp;A of Capex</t>
  </si>
  <si>
    <t>EBIT</t>
  </si>
  <si>
    <t>PBT</t>
  </si>
  <si>
    <t>% Tax Rate</t>
  </si>
  <si>
    <t>Net Income</t>
  </si>
  <si>
    <t>Interest</t>
  </si>
  <si>
    <t>Cash Flow</t>
  </si>
  <si>
    <t>Capex</t>
  </si>
  <si>
    <t>Free Cash Flow</t>
  </si>
  <si>
    <t>Unlevered FCF (UFCF)</t>
  </si>
  <si>
    <t>Illustrative Debt</t>
  </si>
  <si>
    <t>Debt BoP</t>
  </si>
  <si>
    <t>Debt EoP</t>
  </si>
  <si>
    <t>% Rate</t>
  </si>
  <si>
    <t>Discounted Cash Flow Analysis</t>
  </si>
  <si>
    <t>DCF Control</t>
  </si>
  <si>
    <t>Exit Calculations</t>
  </si>
  <si>
    <t>Exit</t>
  </si>
  <si>
    <t>Entry</t>
  </si>
  <si>
    <t>Exit Year</t>
  </si>
  <si>
    <t>WACC</t>
  </si>
  <si>
    <t>Base</t>
  </si>
  <si>
    <t>Step</t>
  </si>
  <si>
    <t>EBITDA (x)</t>
  </si>
  <si>
    <t>Terminal Growth</t>
  </si>
  <si>
    <t>Last Actual Year Available</t>
  </si>
  <si>
    <t>Date</t>
  </si>
  <si>
    <t>Fiscal year ending 31 December</t>
  </si>
  <si>
    <t>Historical</t>
  </si>
  <si>
    <t>Projected</t>
  </si>
  <si>
    <t>CAGR</t>
  </si>
  <si>
    <t xml:space="preserve"> </t>
  </si>
  <si>
    <t>% Change</t>
  </si>
  <si>
    <t>Adj. EBITDA</t>
  </si>
  <si>
    <t>Taxes</t>
  </si>
  <si>
    <t>% Effective Tax Rate</t>
  </si>
  <si>
    <t>NOPAT</t>
  </si>
  <si>
    <t>% of Revenue</t>
  </si>
  <si>
    <t>% Revenue</t>
  </si>
  <si>
    <t>Unlevered Free Cash Flow</t>
  </si>
  <si>
    <t>% Conversion</t>
  </si>
  <si>
    <t>% Conversion (Cash Conversion)</t>
  </si>
  <si>
    <t>Terminal Free Cash Flow</t>
  </si>
  <si>
    <t>Cash Flow Received</t>
  </si>
  <si>
    <t>Cash Flow Available</t>
  </si>
  <si>
    <t>Discount Period</t>
  </si>
  <si>
    <t>Exit Multiple Method Terminus</t>
  </si>
  <si>
    <t>Unlevered Free Cash Flow Generated</t>
  </si>
  <si>
    <t>Discounted Cash Flow</t>
  </si>
  <si>
    <t>Sum of DCFs</t>
  </si>
  <si>
    <t>x TV Discount Period</t>
  </si>
  <si>
    <t>PGR TV Discount Period</t>
  </si>
  <si>
    <t>TV UFCF</t>
  </si>
  <si>
    <t>Exit Multiple Method</t>
  </si>
  <si>
    <t>LTM EBITDA</t>
  </si>
  <si>
    <t>Multiple</t>
  </si>
  <si>
    <t xml:space="preserve">Terminal </t>
  </si>
  <si>
    <t>Value</t>
  </si>
  <si>
    <t xml:space="preserve">Present </t>
  </si>
  <si>
    <t>Value of TV</t>
  </si>
  <si>
    <t xml:space="preserve">Implied </t>
  </si>
  <si>
    <t>Growth</t>
  </si>
  <si>
    <t>PGR Method</t>
  </si>
  <si>
    <t>PGR</t>
  </si>
  <si>
    <t>Discounted Cash Flow - Terminal EBITDA Multiple</t>
  </si>
  <si>
    <t>Terminal Multiple</t>
  </si>
  <si>
    <t>Discount Rate</t>
  </si>
  <si>
    <t>Present Value of:</t>
  </si>
  <si>
    <t>Cash Flows</t>
  </si>
  <si>
    <t>Terminus</t>
  </si>
  <si>
    <t>Aggregate Value</t>
  </si>
  <si>
    <t>Net Debt</t>
  </si>
  <si>
    <t>Equity Value</t>
  </si>
  <si>
    <t>Terminal Value Analysis</t>
  </si>
  <si>
    <t>% Value in Cash Flows</t>
  </si>
  <si>
    <t>% Value in Terminus</t>
  </si>
  <si>
    <t>Implied Perpetual Growth Rate</t>
  </si>
  <si>
    <t>Perpetual Growth</t>
  </si>
  <si>
    <t>Discounted Cash Flow - Perpetual Growth Rate</t>
  </si>
  <si>
    <t>Perpetual Growth Rate</t>
  </si>
  <si>
    <t>Implied AV / EBITDA</t>
  </si>
  <si>
    <t>Projected Free Cash Flow</t>
  </si>
  <si>
    <t>Adjusted EBITDA</t>
  </si>
  <si>
    <t>Capex (-)</t>
  </si>
  <si>
    <t xml:space="preserve">D&amp;A </t>
  </si>
  <si>
    <t xml:space="preserve">Change in NWC </t>
  </si>
  <si>
    <t>Valuation Sensitivity</t>
  </si>
  <si>
    <t>Terminal EBITDA Multiple</t>
  </si>
  <si>
    <t>Implied PGR</t>
  </si>
  <si>
    <t>Implied Multiples:</t>
  </si>
  <si>
    <t>Leveraged Buyout Analysis</t>
  </si>
  <si>
    <t>LBO Control</t>
  </si>
  <si>
    <t>Sources &amp; Uses</t>
  </si>
  <si>
    <t>Entry Calculations</t>
  </si>
  <si>
    <t>Financing</t>
  </si>
  <si>
    <t>Sources</t>
  </si>
  <si>
    <t>Sponsor Equity</t>
  </si>
  <si>
    <t>1st Lien</t>
  </si>
  <si>
    <t>2nd Lien</t>
  </si>
  <si>
    <t>Total</t>
  </si>
  <si>
    <t>Uses</t>
  </si>
  <si>
    <t>Debt Paydown</t>
  </si>
  <si>
    <t>Fees</t>
  </si>
  <si>
    <t>Target IRR Analysis</t>
  </si>
  <si>
    <t>Target IRR</t>
  </si>
  <si>
    <t>Equity Value at Exit</t>
  </si>
  <si>
    <t>Implied Equity Value at Entry</t>
  </si>
  <si>
    <t>(+) Entry Debt</t>
  </si>
  <si>
    <t>(-) BS Cash</t>
  </si>
  <si>
    <t>(-) Other Uses</t>
  </si>
  <si>
    <t>Implied Purchase Price</t>
  </si>
  <si>
    <t>Minimum Cash</t>
  </si>
  <si>
    <t>Entry Mutiple</t>
  </si>
  <si>
    <t>Implied Aggregate Value</t>
  </si>
  <si>
    <t>Cash</t>
  </si>
  <si>
    <t>Implied Equity Value</t>
  </si>
  <si>
    <t>Entry Multiple</t>
  </si>
  <si>
    <t>Initial Sponsor Equity</t>
  </si>
  <si>
    <t>Entry Date</t>
  </si>
  <si>
    <t>Exit Date</t>
  </si>
  <si>
    <t>Hold Period</t>
  </si>
  <si>
    <t>Exit LTM AV / EBITDA</t>
  </si>
  <si>
    <t>Exit LTM EBITDA</t>
  </si>
  <si>
    <t>Net Debt at Exit</t>
  </si>
  <si>
    <t>IRR</t>
  </si>
  <si>
    <t>MoM</t>
  </si>
  <si>
    <t>Exit Multiple</t>
  </si>
  <si>
    <t xml:space="preserve">Revenue CAGR </t>
  </si>
  <si>
    <t>New Debt</t>
  </si>
  <si>
    <t>Interest Rate (bps)</t>
  </si>
  <si>
    <t>OID</t>
  </si>
  <si>
    <t>Revolver</t>
  </si>
  <si>
    <t>Leverage Cap</t>
  </si>
  <si>
    <t>Commitment Fee</t>
  </si>
  <si>
    <t>Fees as a % of AV</t>
  </si>
  <si>
    <t>Transaction Fees</t>
  </si>
  <si>
    <t>Fees as a % of New Debt</t>
  </si>
  <si>
    <t>Financing Fees</t>
  </si>
  <si>
    <t>Amortization Period</t>
  </si>
  <si>
    <t>Annual Amortization</t>
  </si>
  <si>
    <t>WACC Summary Inputs</t>
  </si>
  <si>
    <t>Current WACC</t>
  </si>
  <si>
    <t>Beta  Calculations (as of 25-Jun-2020)</t>
  </si>
  <si>
    <t>Cost of Equity</t>
  </si>
  <si>
    <t>Comps</t>
  </si>
  <si>
    <t>Levered Beta</t>
  </si>
  <si>
    <t>EQT ($)</t>
  </si>
  <si>
    <t>Debt ($)</t>
  </si>
  <si>
    <t>D/E</t>
  </si>
  <si>
    <t>Unlevered Beta</t>
  </si>
  <si>
    <t>Include / Exclude</t>
  </si>
  <si>
    <t>Risk Free Rate (10Y Turkish Government Eurobond Yield 26-Apr-2029) as of 25-Jun-2020</t>
  </si>
  <si>
    <t>Ubisoft (ENXTPA:UBI)</t>
  </si>
  <si>
    <t>Zynga (NadaqGS:ZNGA)</t>
  </si>
  <si>
    <t>Market Risk Premium</t>
  </si>
  <si>
    <t>Activision (NadaqGS:ATVI)</t>
  </si>
  <si>
    <t>Size Premium (Duff &amp; Phelps Size Premium for Micro Cap)</t>
  </si>
  <si>
    <t>Take-Two (NasdaqGS:TTWO)</t>
  </si>
  <si>
    <t>Glu Mobile (NasdaqGS:GLUU)</t>
  </si>
  <si>
    <t>Predicted Beta</t>
  </si>
  <si>
    <t>CD Projekt SA (WSE:CDR)</t>
  </si>
  <si>
    <t>Sciplay Corp (NasdaqGS:SCPL)</t>
  </si>
  <si>
    <t>CAPM Cost of Equity</t>
  </si>
  <si>
    <t>Average</t>
  </si>
  <si>
    <t xml:space="preserve">Cost of Debt </t>
  </si>
  <si>
    <t>Risk Free Rate</t>
  </si>
  <si>
    <t>Spread</t>
  </si>
  <si>
    <t>Pre-tax Cost of Debt</t>
  </si>
  <si>
    <t>Turkey Tax Rate</t>
  </si>
  <si>
    <t>Post-tax Cost of Debt</t>
  </si>
  <si>
    <t>Inputs</t>
  </si>
  <si>
    <t>Target Debt / Equity</t>
  </si>
  <si>
    <t>Target Debt / Capital</t>
  </si>
  <si>
    <t>Target Equity / Capital</t>
  </si>
  <si>
    <t>IRR Sensitivity</t>
  </si>
  <si>
    <t>$MM</t>
  </si>
  <si>
    <t>xLTM EBITDA</t>
  </si>
  <si>
    <t>Leveraged Buyout</t>
  </si>
  <si>
    <t>% Growth</t>
  </si>
  <si>
    <t>Interest Expense</t>
  </si>
  <si>
    <t>Amortization of Financing Fees</t>
  </si>
  <si>
    <t>EBT</t>
  </si>
  <si>
    <t>% ETR</t>
  </si>
  <si>
    <t>Circular Switch</t>
  </si>
  <si>
    <t xml:space="preserve">Tax </t>
  </si>
  <si>
    <t>Cash Flow Statement</t>
  </si>
  <si>
    <t>%</t>
  </si>
  <si>
    <t>Change in Net Working Capital</t>
  </si>
  <si>
    <t>Capital Expenditures</t>
  </si>
  <si>
    <t>Levered Free Cash Flow</t>
  </si>
  <si>
    <t>% of Adjusted EBITDA</t>
  </si>
  <si>
    <t>Cumulative Levered Free Cash Flow</t>
  </si>
  <si>
    <t>% Entry Debt</t>
  </si>
  <si>
    <t>% Total Debt</t>
  </si>
  <si>
    <t>Debt Schedule</t>
  </si>
  <si>
    <t>Beginning Cash</t>
  </si>
  <si>
    <t>% Levered Free Cash Flow Available</t>
  </si>
  <si>
    <t>Mandatory Repayments</t>
  </si>
  <si>
    <t>Cash Available For Voluntary Debt Paydown</t>
  </si>
  <si>
    <t>Ending Cash</t>
  </si>
  <si>
    <t>LIBOR Forward Curve (3M)</t>
  </si>
  <si>
    <t>Credit Facility</t>
  </si>
  <si>
    <t>Beginning Balance</t>
  </si>
  <si>
    <t>Revolver Issuance / (Repayment)</t>
  </si>
  <si>
    <t>Unused Balance</t>
  </si>
  <si>
    <t>Interest Expense and Commitment Fee</t>
  </si>
  <si>
    <t>Size:</t>
  </si>
  <si>
    <t>Sweep:</t>
  </si>
  <si>
    <t>Rate (bps):</t>
  </si>
  <si>
    <t>Rate:</t>
  </si>
  <si>
    <t>Mandatory Repayment</t>
  </si>
  <si>
    <t>Discretionary (Paydown) / Issuance</t>
  </si>
  <si>
    <t>Balance</t>
  </si>
  <si>
    <t>Amortization Rate</t>
  </si>
  <si>
    <t>Amortization</t>
  </si>
  <si>
    <t>Cash flow Available for Voluntary Debt Repayment (1st Lien)</t>
  </si>
  <si>
    <t>Interest Expense (1st Lien)</t>
  </si>
  <si>
    <t>Cash flow Available for Voluntary Debt Repayment (2nd Lien)</t>
  </si>
  <si>
    <t>Cash (total)</t>
  </si>
  <si>
    <t>Metrics and Returns</t>
  </si>
  <si>
    <t>Total Interest Expense</t>
  </si>
  <si>
    <t>Total Debt</t>
  </si>
  <si>
    <t>Total Debt / LTM EBITDA</t>
  </si>
  <si>
    <t>Ending Balance</t>
  </si>
  <si>
    <t>Net Debt / LTM EBITDA</t>
  </si>
  <si>
    <t>LTM Exit Multiple</t>
  </si>
  <si>
    <t>LTM EBITDA Exit Multiple</t>
  </si>
  <si>
    <t>LTM EBITDA Entry Multiple</t>
  </si>
  <si>
    <t>Purchase Price Sensitivity</t>
  </si>
  <si>
    <t>Transaction Snapshot</t>
  </si>
  <si>
    <t>AV:Entry vs Revenue CAGR</t>
  </si>
  <si>
    <t>IRR (%)</t>
  </si>
  <si>
    <t>Revenue CAGR (%)</t>
  </si>
  <si>
    <t>Source</t>
  </si>
  <si>
    <t>Purchase Equity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</si>
</sst>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0.0"/>
    <numFmt numFmtId="165" formatCode="0&quot;A&quot;"/>
    <numFmt numFmtId="166" formatCode="0.0%;\(0.0%\);\ &quot;-&quot;"/>
    <numFmt numFmtId="167" formatCode="#,##0.0;\(#,##0.0\);&quot;-&quot;"/>
    <numFmt numFmtId="168" formatCode="0.0&quot;x&quot;;\(0.0&quot;x&quot;\)"/>
    <numFmt numFmtId="169" formatCode="[$-409]mmm\-yy;@"/>
    <numFmt numFmtId="170" formatCode="0&quot;E&quot;"/>
    <numFmt numFmtId="171" formatCode="#,##0.0"/>
    <numFmt numFmtId="172" formatCode="[$-409]d\-mmm\-yyyy;@"/>
    <numFmt numFmtId="173" formatCode="#,##0.0\ &quot;Years&quot;"/>
    <numFmt numFmtId="174" formatCode="[$-409]dd\-mmm\-yy;@"/>
    <numFmt numFmtId="175" formatCode="[$-409]d\-mmm\-yy;@"/>
    <numFmt numFmtId="176" formatCode="0.0%"/>
    <numFmt numFmtId="177" formatCode="0.000"/>
    <numFmt numFmtId="178" formatCode="[=1]&quot;ON&quot;;[=0]&quot;OFF&quot;"/>
    <numFmt numFmtId="179" formatCode="0&quot; Years&quot;"/>
    <numFmt numFmtId="180" formatCode="#,##0.00000000000"/>
    <numFmt numFmtId="181" formatCode="0.000%"/>
  </numFmts>
  <fonts count="41" x14ac:knownFonts="1">
    <font>
      <sz val="11"/>
      <color theme="1"/>
      <name val="Arial"/>
      <family val="2"/>
      <charset val="162"/>
      <scheme val="minor"/>
    </font>
    <font>
      <sz val="11"/>
      <color theme="0"/>
      <name val="Arial"/>
      <family val="2"/>
      <charset val="162"/>
      <scheme val="minor"/>
    </font>
    <font>
      <sz val="11"/>
      <color rgb="FF0000FF"/>
      <name val="Arial"/>
      <family val="2"/>
      <charset val="162"/>
      <scheme val="minor"/>
    </font>
    <font>
      <b/>
      <sz val="11"/>
      <color rgb="FF0000FF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name val="Arial"/>
      <family val="2"/>
      <charset val="162"/>
      <scheme val="minor"/>
    </font>
    <font>
      <b/>
      <sz val="11"/>
      <color rgb="FF00B050"/>
      <name val="Arial"/>
      <family val="2"/>
      <scheme val="minor"/>
    </font>
    <font>
      <i/>
      <sz val="11"/>
      <color theme="1"/>
      <name val="Arial"/>
      <family val="2"/>
      <scheme val="minor"/>
    </font>
    <font>
      <sz val="11"/>
      <color theme="1"/>
      <name val="Arial"/>
      <family val="2"/>
      <charset val="162"/>
      <scheme val="minor"/>
    </font>
    <font>
      <sz val="11"/>
      <color rgb="FF00B050"/>
      <name val="Arial"/>
      <family val="2"/>
      <charset val="162"/>
      <scheme val="minor"/>
    </font>
    <font>
      <i/>
      <sz val="11"/>
      <color rgb="FF00B050"/>
      <name val="Arial"/>
      <family val="2"/>
      <scheme val="minor"/>
    </font>
    <font>
      <i/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i/>
      <sz val="11"/>
      <color theme="0"/>
      <name val="Arial"/>
      <family val="2"/>
      <scheme val="minor"/>
    </font>
    <font>
      <b/>
      <u val="singleAccounting"/>
      <sz val="11"/>
      <color theme="0"/>
      <name val="Arial"/>
      <family val="2"/>
      <scheme val="minor"/>
    </font>
    <font>
      <u val="singleAccounting"/>
      <sz val="11"/>
      <color theme="0"/>
      <name val="Arial"/>
      <family val="2"/>
      <scheme val="minor"/>
    </font>
    <font>
      <u val="singleAccounting"/>
      <sz val="11"/>
      <color theme="0"/>
      <name val="Arial"/>
      <family val="2"/>
      <charset val="162"/>
      <scheme val="minor"/>
    </font>
    <font>
      <b/>
      <i/>
      <sz val="11"/>
      <color theme="1"/>
      <name val="Arial"/>
      <family val="2"/>
      <scheme val="minor"/>
    </font>
    <font>
      <sz val="10"/>
      <color rgb="FF000000"/>
      <name val="Arial"/>
      <family val="2"/>
      <charset val="162"/>
    </font>
    <font>
      <sz val="16"/>
      <color rgb="FF000000"/>
      <name val="Arial"/>
      <family val="2"/>
      <charset val="162"/>
    </font>
    <font>
      <b/>
      <sz val="10"/>
      <color theme="0"/>
      <name val="Arial"/>
      <family val="2"/>
      <charset val="162"/>
    </font>
    <font>
      <sz val="10"/>
      <color theme="0"/>
      <name val="Arial"/>
      <family val="2"/>
      <charset val="162"/>
    </font>
    <font>
      <b/>
      <sz val="10"/>
      <color rgb="FF000000"/>
      <name val="Arial"/>
      <family val="2"/>
      <charset val="162"/>
    </font>
    <font>
      <sz val="10"/>
      <color theme="4"/>
      <name val="Arial"/>
      <family val="2"/>
      <charset val="162"/>
    </font>
    <font>
      <sz val="10"/>
      <color theme="5"/>
      <name val="Arial"/>
      <family val="2"/>
      <charset val="162"/>
    </font>
    <font>
      <sz val="10"/>
      <color theme="9"/>
      <name val="Arial"/>
      <family val="2"/>
      <charset val="162"/>
    </font>
    <font>
      <b/>
      <i/>
      <sz val="10"/>
      <color rgb="FF000000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i/>
      <u val="singleAccounting"/>
      <sz val="11"/>
      <color theme="0"/>
      <name val="Arial"/>
      <family val="2"/>
      <scheme val="minor"/>
    </font>
    <font>
      <b/>
      <i/>
      <sz val="11"/>
      <color theme="0"/>
      <name val="Arial"/>
      <family val="2"/>
      <scheme val="minor"/>
    </font>
    <font>
      <i/>
      <sz val="11"/>
      <color rgb="FF0000FF"/>
      <name val="Arial"/>
      <family val="2"/>
      <scheme val="minor"/>
    </font>
    <font>
      <b/>
      <i/>
      <u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i/>
      <sz val="11"/>
      <color theme="3"/>
      <name val="Arial"/>
      <family val="2"/>
      <scheme val="minor"/>
    </font>
    <font>
      <b/>
      <sz val="11"/>
      <color theme="4"/>
      <name val="Arial"/>
      <family val="2"/>
      <scheme val="minor"/>
    </font>
    <font>
      <b/>
      <sz val="11"/>
      <color theme="5"/>
      <name val="Arial"/>
      <family val="2"/>
      <scheme val="minor"/>
    </font>
    <font>
      <b/>
      <sz val="10"/>
      <color theme="4"/>
      <name val="Arial"/>
      <family val="2"/>
      <charset val="16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theme="2"/>
      </bottom>
      <diagonal/>
    </border>
    <border>
      <left/>
      <right/>
      <top style="thin">
        <color theme="3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2"/>
      </top>
      <bottom/>
      <diagonal/>
    </border>
  </borders>
  <cellStyleXfs count="4">
    <xf numFmtId="0" fontId="0" fillId="0" borderId="0"/>
    <xf numFmtId="9" fontId="10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</cellStyleXfs>
  <cellXfs count="337">
    <xf numFmtId="0" fontId="0" fillId="0" borderId="0" xfId="0"/>
    <xf numFmtId="0" fontId="0" fillId="0" borderId="0" xfId="0" applyAlignment="1">
      <alignment horizontal="center"/>
    </xf>
    <xf numFmtId="0" fontId="3" fillId="2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4" fillId="0" borderId="0" xfId="0" applyFont="1"/>
    <xf numFmtId="164" fontId="3" fillId="0" borderId="0" xfId="0" applyNumberFormat="1" applyFont="1"/>
    <xf numFmtId="164" fontId="4" fillId="0" borderId="0" xfId="0" applyNumberFormat="1" applyFont="1"/>
    <xf numFmtId="0" fontId="6" fillId="0" borderId="0" xfId="0" applyFont="1"/>
    <xf numFmtId="0" fontId="0" fillId="4" borderId="0" xfId="0" applyFill="1"/>
    <xf numFmtId="0" fontId="0" fillId="4" borderId="0" xfId="0" applyFill="1" applyAlignment="1">
      <alignment horizontal="center"/>
    </xf>
    <xf numFmtId="0" fontId="4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 indent="1"/>
    </xf>
    <xf numFmtId="0" fontId="4" fillId="2" borderId="1" xfId="0" applyFont="1" applyFill="1" applyBorder="1" applyAlignment="1">
      <alignment horizontal="center"/>
    </xf>
    <xf numFmtId="0" fontId="0" fillId="0" borderId="1" xfId="0" applyBorder="1" applyAlignment="1">
      <alignment horizontal="left" indent="2"/>
    </xf>
    <xf numFmtId="166" fontId="2" fillId="0" borderId="1" xfId="0" applyNumberFormat="1" applyFont="1" applyBorder="1"/>
    <xf numFmtId="166" fontId="7" fillId="0" borderId="1" xfId="0" applyNumberFormat="1" applyFont="1" applyBorder="1"/>
    <xf numFmtId="0" fontId="2" fillId="0" borderId="1" xfId="0" applyFont="1" applyBorder="1"/>
    <xf numFmtId="167" fontId="0" fillId="0" borderId="1" xfId="0" applyNumberFormat="1" applyBorder="1"/>
    <xf numFmtId="167" fontId="2" fillId="0" borderId="1" xfId="0" applyNumberFormat="1" applyFont="1" applyBorder="1"/>
    <xf numFmtId="167" fontId="7" fillId="0" borderId="1" xfId="0" applyNumberFormat="1" applyFont="1" applyBorder="1"/>
    <xf numFmtId="168" fontId="2" fillId="0" borderId="1" xfId="0" applyNumberFormat="1" applyFont="1" applyBorder="1"/>
    <xf numFmtId="169" fontId="1" fillId="3" borderId="0" xfId="0" applyNumberFormat="1" applyFont="1" applyFill="1" applyAlignment="1">
      <alignment horizontal="left"/>
    </xf>
    <xf numFmtId="165" fontId="8" fillId="0" borderId="0" xfId="0" applyNumberFormat="1" applyFont="1"/>
    <xf numFmtId="0" fontId="9" fillId="0" borderId="0" xfId="0" applyFont="1" applyAlignment="1">
      <alignment horizontal="left" indent="1"/>
    </xf>
    <xf numFmtId="170" fontId="5" fillId="0" borderId="0" xfId="0" applyNumberFormat="1" applyFont="1"/>
    <xf numFmtId="167" fontId="0" fillId="0" borderId="0" xfId="0" applyNumberFormat="1"/>
    <xf numFmtId="171" fontId="0" fillId="0" borderId="0" xfId="0" applyNumberFormat="1"/>
    <xf numFmtId="0" fontId="9" fillId="0" borderId="0" xfId="0" applyFont="1"/>
    <xf numFmtId="166" fontId="12" fillId="0" borderId="0" xfId="0" applyNumberFormat="1" applyFont="1"/>
    <xf numFmtId="166" fontId="9" fillId="0" borderId="0" xfId="0" applyNumberFormat="1" applyFont="1"/>
    <xf numFmtId="0" fontId="0" fillId="0" borderId="0" xfId="0" applyAlignment="1">
      <alignment horizontal="left" indent="1"/>
    </xf>
    <xf numFmtId="168" fontId="7" fillId="0" borderId="1" xfId="0" applyNumberFormat="1" applyFont="1" applyBorder="1"/>
    <xf numFmtId="168" fontId="8" fillId="2" borderId="1" xfId="0" applyNumberFormat="1" applyFont="1" applyFill="1" applyBorder="1" applyAlignment="1">
      <alignment horizontal="center"/>
    </xf>
    <xf numFmtId="0" fontId="0" fillId="5" borderId="0" xfId="0" applyFill="1"/>
    <xf numFmtId="0" fontId="9" fillId="5" borderId="0" xfId="0" applyFont="1" applyFill="1"/>
    <xf numFmtId="0" fontId="0" fillId="5" borderId="1" xfId="0" applyFill="1" applyBorder="1"/>
    <xf numFmtId="0" fontId="9" fillId="0" borderId="1" xfId="0" applyFont="1" applyBorder="1" applyAlignment="1">
      <alignment horizontal="left" indent="1"/>
    </xf>
    <xf numFmtId="0" fontId="9" fillId="0" borderId="1" xfId="0" applyFont="1" applyBorder="1"/>
    <xf numFmtId="166" fontId="9" fillId="0" borderId="1" xfId="0" applyNumberFormat="1" applyFont="1" applyBorder="1"/>
    <xf numFmtId="0" fontId="9" fillId="5" borderId="1" xfId="0" applyFont="1" applyFill="1" applyBorder="1"/>
    <xf numFmtId="166" fontId="12" fillId="0" borderId="1" xfId="0" applyNumberFormat="1" applyFont="1" applyBorder="1"/>
    <xf numFmtId="0" fontId="4" fillId="6" borderId="1" xfId="0" applyFont="1" applyFill="1" applyBorder="1"/>
    <xf numFmtId="167" fontId="4" fillId="6" borderId="1" xfId="0" applyNumberFormat="1" applyFont="1" applyFill="1" applyBorder="1"/>
    <xf numFmtId="0" fontId="0" fillId="6" borderId="0" xfId="0" applyFill="1"/>
    <xf numFmtId="0" fontId="4" fillId="6" borderId="0" xfId="0" applyFont="1" applyFill="1"/>
    <xf numFmtId="171" fontId="4" fillId="6" borderId="1" xfId="0" applyNumberFormat="1" applyFont="1" applyFill="1" applyBorder="1"/>
    <xf numFmtId="166" fontId="13" fillId="0" borderId="1" xfId="0" applyNumberFormat="1" applyFont="1" applyBorder="1"/>
    <xf numFmtId="166" fontId="0" fillId="0" borderId="1" xfId="0" applyNumberFormat="1" applyBorder="1"/>
    <xf numFmtId="0" fontId="14" fillId="0" borderId="1" xfId="0" applyFont="1" applyBorder="1" applyAlignment="1">
      <alignment horizontal="left"/>
    </xf>
    <xf numFmtId="166" fontId="9" fillId="5" borderId="1" xfId="0" applyNumberFormat="1" applyFont="1" applyFill="1" applyBorder="1"/>
    <xf numFmtId="167" fontId="0" fillId="5" borderId="1" xfId="0" applyNumberFormat="1" applyFill="1" applyBorder="1"/>
    <xf numFmtId="0" fontId="0" fillId="7" borderId="0" xfId="0" applyFill="1"/>
    <xf numFmtId="0" fontId="1" fillId="7" borderId="0" xfId="0" applyFont="1" applyFill="1"/>
    <xf numFmtId="0" fontId="4" fillId="8" borderId="0" xfId="0" applyFont="1" applyFill="1" applyAlignment="1">
      <alignment horizontal="centerContinuous"/>
    </xf>
    <xf numFmtId="0" fontId="4" fillId="8" borderId="3" xfId="0" applyFont="1" applyFill="1" applyBorder="1" applyAlignment="1">
      <alignment horizontal="centerContinuous"/>
    </xf>
    <xf numFmtId="0" fontId="0" fillId="8" borderId="4" xfId="0" applyFill="1" applyBorder="1" applyAlignment="1">
      <alignment horizontal="centerContinuous"/>
    </xf>
    <xf numFmtId="0" fontId="0" fillId="8" borderId="5" xfId="0" applyFill="1" applyBorder="1" applyAlignment="1">
      <alignment horizontal="centerContinuous"/>
    </xf>
    <xf numFmtId="0" fontId="4" fillId="5" borderId="3" xfId="0" applyFont="1" applyFill="1" applyBorder="1" applyAlignment="1">
      <alignment horizontal="centerContinuous"/>
    </xf>
    <xf numFmtId="0" fontId="0" fillId="5" borderId="5" xfId="0" applyFill="1" applyBorder="1" applyAlignment="1">
      <alignment horizontal="centerContinuous"/>
    </xf>
    <xf numFmtId="172" fontId="2" fillId="0" borderId="0" xfId="0" applyNumberFormat="1" applyFont="1"/>
    <xf numFmtId="0" fontId="0" fillId="0" borderId="6" xfId="0" applyBorder="1"/>
    <xf numFmtId="0" fontId="0" fillId="0" borderId="7" xfId="0" applyBorder="1"/>
    <xf numFmtId="173" fontId="0" fillId="0" borderId="7" xfId="0" applyNumberFormat="1" applyBorder="1"/>
    <xf numFmtId="166" fontId="2" fillId="0" borderId="0" xfId="0" applyNumberFormat="1" applyFont="1"/>
    <xf numFmtId="168" fontId="2" fillId="0" borderId="0" xfId="0" applyNumberFormat="1" applyFont="1"/>
    <xf numFmtId="0" fontId="15" fillId="7" borderId="0" xfId="0" applyFont="1" applyFill="1"/>
    <xf numFmtId="166" fontId="2" fillId="0" borderId="6" xfId="0" applyNumberFormat="1" applyFont="1" applyBorder="1"/>
    <xf numFmtId="168" fontId="2" fillId="0" borderId="6" xfId="0" applyNumberFormat="1" applyFont="1" applyBorder="1"/>
    <xf numFmtId="174" fontId="2" fillId="5" borderId="0" xfId="0" applyNumberFormat="1" applyFont="1" applyFill="1"/>
    <xf numFmtId="165" fontId="0" fillId="0" borderId="0" xfId="0" applyNumberFormat="1"/>
    <xf numFmtId="0" fontId="16" fillId="7" borderId="0" xfId="0" applyFont="1" applyFill="1"/>
    <xf numFmtId="0" fontId="17" fillId="7" borderId="0" xfId="0" applyFont="1" applyFill="1" applyAlignment="1">
      <alignment horizontal="centerContinuous"/>
    </xf>
    <xf numFmtId="0" fontId="18" fillId="7" borderId="0" xfId="0" applyFont="1" applyFill="1" applyAlignment="1">
      <alignment horizontal="centerContinuous"/>
    </xf>
    <xf numFmtId="0" fontId="19" fillId="7" borderId="0" xfId="0" applyFont="1" applyFill="1" applyAlignment="1">
      <alignment horizontal="centerContinuous"/>
    </xf>
    <xf numFmtId="165" fontId="15" fillId="7" borderId="0" xfId="0" applyNumberFormat="1" applyFont="1" applyFill="1"/>
    <xf numFmtId="170" fontId="15" fillId="7" borderId="0" xfId="0" applyNumberFormat="1" applyFont="1" applyFill="1"/>
    <xf numFmtId="167" fontId="11" fillId="0" borderId="0" xfId="0" applyNumberFormat="1" applyFont="1"/>
    <xf numFmtId="0" fontId="0" fillId="0" borderId="11" xfId="0" applyBorder="1"/>
    <xf numFmtId="0" fontId="4" fillId="0" borderId="7" xfId="0" applyFont="1" applyBorder="1"/>
    <xf numFmtId="167" fontId="4" fillId="0" borderId="7" xfId="0" applyNumberFormat="1" applyFont="1" applyBorder="1"/>
    <xf numFmtId="167" fontId="8" fillId="0" borderId="0" xfId="0" applyNumberFormat="1" applyFont="1"/>
    <xf numFmtId="166" fontId="9" fillId="5" borderId="0" xfId="0" applyNumberFormat="1" applyFont="1" applyFill="1" applyAlignment="1">
      <alignment horizontal="center"/>
    </xf>
    <xf numFmtId="166" fontId="9" fillId="5" borderId="7" xfId="0" applyNumberFormat="1" applyFont="1" applyFill="1" applyBorder="1" applyAlignment="1">
      <alignment horizontal="center"/>
    </xf>
    <xf numFmtId="175" fontId="11" fillId="0" borderId="0" xfId="0" applyNumberFormat="1" applyFont="1"/>
    <xf numFmtId="175" fontId="7" fillId="0" borderId="0" xfId="0" applyNumberFormat="1" applyFont="1"/>
    <xf numFmtId="0" fontId="20" fillId="0" borderId="0" xfId="0" applyFont="1" applyAlignment="1">
      <alignment horizontal="center"/>
    </xf>
    <xf numFmtId="166" fontId="11" fillId="5" borderId="12" xfId="0" applyNumberFormat="1" applyFont="1" applyFill="1" applyBorder="1" applyAlignment="1">
      <alignment horizontal="center"/>
    </xf>
    <xf numFmtId="166" fontId="11" fillId="5" borderId="14" xfId="0" applyNumberFormat="1" applyFont="1" applyFill="1" applyBorder="1" applyAlignment="1">
      <alignment horizontal="center"/>
    </xf>
    <xf numFmtId="166" fontId="11" fillId="5" borderId="9" xfId="0" applyNumberFormat="1" applyFont="1" applyFill="1" applyBorder="1" applyAlignment="1">
      <alignment horizontal="center"/>
    </xf>
    <xf numFmtId="167" fontId="14" fillId="0" borderId="7" xfId="0" applyNumberFormat="1" applyFont="1" applyBorder="1"/>
    <xf numFmtId="167" fontId="14" fillId="0" borderId="0" xfId="0" applyNumberFormat="1" applyFont="1"/>
    <xf numFmtId="167" fontId="14" fillId="0" borderId="6" xfId="0" applyNumberFormat="1" applyFont="1" applyBorder="1"/>
    <xf numFmtId="0" fontId="20" fillId="5" borderId="0" xfId="0" applyFont="1" applyFill="1" applyAlignment="1">
      <alignment horizontal="center"/>
    </xf>
    <xf numFmtId="167" fontId="4" fillId="5" borderId="7" xfId="0" applyNumberFormat="1" applyFont="1" applyFill="1" applyBorder="1" applyAlignment="1">
      <alignment horizontal="center"/>
    </xf>
    <xf numFmtId="167" fontId="4" fillId="5" borderId="0" xfId="0" applyNumberFormat="1" applyFont="1" applyFill="1" applyAlignment="1">
      <alignment horizontal="center"/>
    </xf>
    <xf numFmtId="167" fontId="4" fillId="5" borderId="6" xfId="0" applyNumberFormat="1" applyFont="1" applyFill="1" applyBorder="1" applyAlignment="1">
      <alignment horizontal="center"/>
    </xf>
    <xf numFmtId="175" fontId="0" fillId="6" borderId="0" xfId="0" applyNumberFormat="1" applyFill="1"/>
    <xf numFmtId="167" fontId="0" fillId="0" borderId="0" xfId="0" applyNumberFormat="1" applyAlignment="1">
      <alignment horizontal="center"/>
    </xf>
    <xf numFmtId="0" fontId="4" fillId="5" borderId="2" xfId="0" applyFont="1" applyFill="1" applyBorder="1" applyAlignment="1">
      <alignment horizontal="center"/>
    </xf>
    <xf numFmtId="167" fontId="4" fillId="0" borderId="2" xfId="0" applyNumberFormat="1" applyFont="1" applyBorder="1" applyAlignment="1">
      <alignment horizontal="center"/>
    </xf>
    <xf numFmtId="0" fontId="4" fillId="6" borderId="0" xfId="0" applyFont="1" applyFill="1" applyAlignment="1">
      <alignment horizontal="centerContinuous"/>
    </xf>
    <xf numFmtId="166" fontId="0" fillId="0" borderId="13" xfId="0" applyNumberFormat="1" applyBorder="1" applyAlignment="1">
      <alignment horizontal="center"/>
    </xf>
    <xf numFmtId="168" fontId="11" fillId="0" borderId="7" xfId="0" applyNumberFormat="1" applyFont="1" applyBorder="1" applyAlignment="1">
      <alignment horizontal="center"/>
    </xf>
    <xf numFmtId="166" fontId="0" fillId="0" borderId="15" xfId="0" applyNumberFormat="1" applyBorder="1" applyAlignment="1">
      <alignment horizontal="center"/>
    </xf>
    <xf numFmtId="168" fontId="0" fillId="0" borderId="0" xfId="0" applyNumberFormat="1" applyAlignment="1">
      <alignment horizontal="center"/>
    </xf>
    <xf numFmtId="0" fontId="0" fillId="0" borderId="16" xfId="0" applyBorder="1" applyAlignment="1">
      <alignment horizontal="center"/>
    </xf>
    <xf numFmtId="166" fontId="0" fillId="0" borderId="10" xfId="0" applyNumberFormat="1" applyBorder="1" applyAlignment="1">
      <alignment horizontal="center"/>
    </xf>
    <xf numFmtId="168" fontId="0" fillId="0" borderId="6" xfId="0" applyNumberFormat="1" applyBorder="1" applyAlignment="1">
      <alignment horizontal="center"/>
    </xf>
    <xf numFmtId="0" fontId="4" fillId="0" borderId="15" xfId="0" applyFont="1" applyBorder="1"/>
    <xf numFmtId="0" fontId="4" fillId="0" borderId="0" xfId="0" applyFont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5" borderId="16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166" fontId="0" fillId="5" borderId="11" xfId="1" applyNumberFormat="1" applyFont="1" applyFill="1" applyBorder="1" applyAlignment="1">
      <alignment horizontal="center"/>
    </xf>
    <xf numFmtId="166" fontId="0" fillId="5" borderId="16" xfId="0" applyNumberFormat="1" applyFill="1" applyBorder="1" applyAlignment="1">
      <alignment horizontal="center"/>
    </xf>
    <xf numFmtId="166" fontId="0" fillId="5" borderId="8" xfId="0" applyNumberFormat="1" applyFill="1" applyBorder="1" applyAlignment="1">
      <alignment horizontal="center"/>
    </xf>
    <xf numFmtId="166" fontId="0" fillId="5" borderId="11" xfId="0" applyNumberFormat="1" applyFill="1" applyBorder="1" applyAlignment="1">
      <alignment horizontal="center"/>
    </xf>
    <xf numFmtId="166" fontId="11" fillId="0" borderId="7" xfId="0" applyNumberFormat="1" applyFont="1" applyBorder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6" xfId="0" applyNumberFormat="1" applyBorder="1" applyAlignment="1">
      <alignment horizontal="center"/>
    </xf>
    <xf numFmtId="167" fontId="0" fillId="0" borderId="7" xfId="0" applyNumberFormat="1" applyBorder="1" applyAlignment="1">
      <alignment horizontal="center"/>
    </xf>
    <xf numFmtId="167" fontId="0" fillId="0" borderId="6" xfId="0" applyNumberFormat="1" applyBorder="1" applyAlignment="1">
      <alignment horizontal="center"/>
    </xf>
    <xf numFmtId="168" fontId="0" fillId="5" borderId="11" xfId="1" applyNumberFormat="1" applyFont="1" applyFill="1" applyBorder="1" applyAlignment="1">
      <alignment horizontal="center"/>
    </xf>
    <xf numFmtId="168" fontId="0" fillId="5" borderId="16" xfId="0" applyNumberFormat="1" applyFill="1" applyBorder="1" applyAlignment="1">
      <alignment horizontal="center"/>
    </xf>
    <xf numFmtId="168" fontId="0" fillId="5" borderId="8" xfId="0" applyNumberFormat="1" applyFill="1" applyBorder="1" applyAlignment="1">
      <alignment horizontal="center"/>
    </xf>
    <xf numFmtId="168" fontId="0" fillId="5" borderId="11" xfId="0" applyNumberFormat="1" applyFill="1" applyBorder="1" applyAlignment="1">
      <alignment horizontal="center"/>
    </xf>
    <xf numFmtId="0" fontId="4" fillId="0" borderId="17" xfId="0" applyFont="1" applyBorder="1"/>
    <xf numFmtId="0" fontId="4" fillId="6" borderId="18" xfId="0" applyFont="1" applyFill="1" applyBorder="1"/>
    <xf numFmtId="168" fontId="4" fillId="6" borderId="18" xfId="0" applyNumberFormat="1" applyFont="1" applyFill="1" applyBorder="1" applyAlignment="1">
      <alignment horizontal="centerContinuous"/>
    </xf>
    <xf numFmtId="0" fontId="4" fillId="6" borderId="18" xfId="0" applyFont="1" applyFill="1" applyBorder="1" applyAlignment="1">
      <alignment horizontal="centerContinuous"/>
    </xf>
    <xf numFmtId="0" fontId="4" fillId="0" borderId="19" xfId="0" applyFont="1" applyBorder="1"/>
    <xf numFmtId="166" fontId="8" fillId="0" borderId="19" xfId="0" applyNumberFormat="1" applyFont="1" applyBorder="1" applyAlignment="1">
      <alignment horizontal="center"/>
    </xf>
    <xf numFmtId="166" fontId="4" fillId="0" borderId="19" xfId="0" applyNumberFormat="1" applyFont="1" applyBorder="1"/>
    <xf numFmtId="0" fontId="4" fillId="6" borderId="20" xfId="0" applyFont="1" applyFill="1" applyBorder="1" applyAlignment="1">
      <alignment horizontal="centerContinuous"/>
    </xf>
    <xf numFmtId="166" fontId="8" fillId="0" borderId="21" xfId="0" applyNumberFormat="1" applyFont="1" applyBorder="1" applyAlignment="1">
      <alignment horizontal="center"/>
    </xf>
    <xf numFmtId="0" fontId="0" fillId="0" borderId="16" xfId="0" applyBorder="1"/>
    <xf numFmtId="166" fontId="4" fillId="0" borderId="21" xfId="0" applyNumberFormat="1" applyFont="1" applyBorder="1"/>
    <xf numFmtId="0" fontId="20" fillId="0" borderId="0" xfId="0" applyFont="1"/>
    <xf numFmtId="167" fontId="0" fillId="0" borderId="16" xfId="0" applyNumberFormat="1" applyBorder="1" applyAlignment="1">
      <alignment horizontal="center"/>
    </xf>
    <xf numFmtId="167" fontId="0" fillId="0" borderId="11" xfId="0" applyNumberFormat="1" applyBorder="1" applyAlignment="1">
      <alignment horizontal="center"/>
    </xf>
    <xf numFmtId="0" fontId="2" fillId="0" borderId="0" xfId="0" applyFont="1" applyAlignment="1">
      <alignment horizontal="center"/>
    </xf>
    <xf numFmtId="0" fontId="9" fillId="0" borderId="16" xfId="0" applyFont="1" applyBorder="1"/>
    <xf numFmtId="168" fontId="9" fillId="0" borderId="0" xfId="0" applyNumberFormat="1" applyFont="1" applyAlignment="1">
      <alignment horizontal="center"/>
    </xf>
    <xf numFmtId="168" fontId="9" fillId="0" borderId="16" xfId="0" applyNumberFormat="1" applyFont="1" applyBorder="1" applyAlignment="1">
      <alignment horizontal="center"/>
    </xf>
    <xf numFmtId="0" fontId="0" fillId="6" borderId="20" xfId="0" applyFill="1" applyBorder="1"/>
    <xf numFmtId="0" fontId="4" fillId="0" borderId="21" xfId="0" applyFont="1" applyBorder="1"/>
    <xf numFmtId="166" fontId="9" fillId="0" borderId="0" xfId="0" applyNumberFormat="1" applyFont="1" applyAlignment="1">
      <alignment horizontal="center"/>
    </xf>
    <xf numFmtId="166" fontId="9" fillId="0" borderId="16" xfId="0" applyNumberFormat="1" applyFont="1" applyBorder="1" applyAlignment="1">
      <alignment horizontal="center"/>
    </xf>
    <xf numFmtId="0" fontId="0" fillId="0" borderId="18" xfId="0" applyBorder="1"/>
    <xf numFmtId="0" fontId="9" fillId="0" borderId="18" xfId="0" applyFont="1" applyBorder="1" applyAlignment="1">
      <alignment horizontal="left" indent="1"/>
    </xf>
    <xf numFmtId="0" fontId="9" fillId="0" borderId="20" xfId="0" applyFont="1" applyBorder="1"/>
    <xf numFmtId="166" fontId="9" fillId="0" borderId="18" xfId="0" applyNumberFormat="1" applyFont="1" applyBorder="1" applyAlignment="1">
      <alignment horizontal="center"/>
    </xf>
    <xf numFmtId="166" fontId="9" fillId="0" borderId="20" xfId="0" applyNumberFormat="1" applyFont="1" applyBorder="1" applyAlignment="1">
      <alignment horizontal="center"/>
    </xf>
    <xf numFmtId="0" fontId="4" fillId="8" borderId="18" xfId="0" applyFont="1" applyFill="1" applyBorder="1"/>
    <xf numFmtId="0" fontId="0" fillId="8" borderId="20" xfId="0" applyFill="1" applyBorder="1"/>
    <xf numFmtId="166" fontId="4" fillId="8" borderId="18" xfId="0" applyNumberFormat="1" applyFont="1" applyFill="1" applyBorder="1" applyAlignment="1">
      <alignment horizontal="centerContinuous"/>
    </xf>
    <xf numFmtId="0" fontId="4" fillId="8" borderId="18" xfId="0" applyFont="1" applyFill="1" applyBorder="1" applyAlignment="1">
      <alignment horizontal="centerContinuous"/>
    </xf>
    <xf numFmtId="0" fontId="4" fillId="8" borderId="20" xfId="0" applyFont="1" applyFill="1" applyBorder="1" applyAlignment="1">
      <alignment horizontal="centerContinuous"/>
    </xf>
    <xf numFmtId="168" fontId="9" fillId="0" borderId="18" xfId="0" applyNumberFormat="1" applyFont="1" applyBorder="1" applyAlignment="1">
      <alignment horizontal="center"/>
    </xf>
    <xf numFmtId="168" fontId="9" fillId="0" borderId="20" xfId="0" applyNumberFormat="1" applyFont="1" applyBorder="1" applyAlignment="1">
      <alignment horizontal="center"/>
    </xf>
    <xf numFmtId="0" fontId="4" fillId="5" borderId="18" xfId="0" applyFont="1" applyFill="1" applyBorder="1"/>
    <xf numFmtId="170" fontId="4" fillId="5" borderId="18" xfId="0" applyNumberFormat="1" applyFont="1" applyFill="1" applyBorder="1"/>
    <xf numFmtId="0" fontId="20" fillId="5" borderId="14" xfId="0" applyFont="1" applyFill="1" applyBorder="1" applyAlignment="1">
      <alignment horizontal="center"/>
    </xf>
    <xf numFmtId="0" fontId="20" fillId="5" borderId="22" xfId="0" applyFont="1" applyFill="1" applyBorder="1" applyAlignment="1">
      <alignment horizontal="center"/>
    </xf>
    <xf numFmtId="0" fontId="0" fillId="5" borderId="14" xfId="0" applyFill="1" applyBorder="1"/>
    <xf numFmtId="0" fontId="4" fillId="0" borderId="23" xfId="0" applyFont="1" applyBorder="1"/>
    <xf numFmtId="167" fontId="4" fillId="0" borderId="23" xfId="0" applyNumberFormat="1" applyFont="1" applyBorder="1"/>
    <xf numFmtId="166" fontId="9" fillId="5" borderId="24" xfId="0" applyNumberFormat="1" applyFont="1" applyFill="1" applyBorder="1" applyAlignment="1">
      <alignment horizontal="center"/>
    </xf>
    <xf numFmtId="166" fontId="9" fillId="5" borderId="14" xfId="0" applyNumberFormat="1" applyFont="1" applyFill="1" applyBorder="1" applyAlignment="1">
      <alignment horizontal="center"/>
    </xf>
    <xf numFmtId="0" fontId="4" fillId="6" borderId="23" xfId="0" applyFont="1" applyFill="1" applyBorder="1"/>
    <xf numFmtId="167" fontId="4" fillId="6" borderId="23" xfId="0" applyNumberFormat="1" applyFont="1" applyFill="1" applyBorder="1"/>
    <xf numFmtId="166" fontId="9" fillId="6" borderId="24" xfId="0" applyNumberFormat="1" applyFont="1" applyFill="1" applyBorder="1" applyAlignment="1">
      <alignment horizontal="center"/>
    </xf>
    <xf numFmtId="166" fontId="9" fillId="0" borderId="18" xfId="0" applyNumberFormat="1" applyFont="1" applyBorder="1"/>
    <xf numFmtId="0" fontId="0" fillId="5" borderId="22" xfId="0" applyFill="1" applyBorder="1"/>
    <xf numFmtId="0" fontId="4" fillId="5" borderId="6" xfId="0" applyFont="1" applyFill="1" applyBorder="1"/>
    <xf numFmtId="0" fontId="0" fillId="5" borderId="6" xfId="0" applyFill="1" applyBorder="1"/>
    <xf numFmtId="168" fontId="4" fillId="5" borderId="6" xfId="0" applyNumberFormat="1" applyFont="1" applyFill="1" applyBorder="1" applyAlignment="1">
      <alignment horizontal="centerContinuous"/>
    </xf>
    <xf numFmtId="0" fontId="4" fillId="0" borderId="4" xfId="0" applyFont="1" applyBorder="1"/>
    <xf numFmtId="166" fontId="4" fillId="0" borderId="4" xfId="0" applyNumberFormat="1" applyFont="1" applyBorder="1" applyAlignment="1">
      <alignment horizontal="center"/>
    </xf>
    <xf numFmtId="166" fontId="4" fillId="0" borderId="0" xfId="0" applyNumberFormat="1" applyFont="1" applyAlignment="1">
      <alignment horizontal="center"/>
    </xf>
    <xf numFmtId="0" fontId="4" fillId="6" borderId="7" xfId="0" applyFont="1" applyFill="1" applyBorder="1"/>
    <xf numFmtId="167" fontId="4" fillId="6" borderId="7" xfId="0" applyNumberFormat="1" applyFont="1" applyFill="1" applyBorder="1" applyAlignment="1">
      <alignment horizontal="center"/>
    </xf>
    <xf numFmtId="166" fontId="9" fillId="0" borderId="7" xfId="0" applyNumberFormat="1" applyFont="1" applyBorder="1" applyAlignment="1">
      <alignment horizontal="center"/>
    </xf>
    <xf numFmtId="0" fontId="20" fillId="0" borderId="7" xfId="0" applyFont="1" applyBorder="1"/>
    <xf numFmtId="0" fontId="9" fillId="0" borderId="7" xfId="0" applyFont="1" applyBorder="1"/>
    <xf numFmtId="0" fontId="9" fillId="0" borderId="18" xfId="0" applyFont="1" applyBorder="1"/>
    <xf numFmtId="168" fontId="9" fillId="0" borderId="7" xfId="0" applyNumberFormat="1" applyFont="1" applyBorder="1" applyAlignment="1">
      <alignment horizontal="center"/>
    </xf>
    <xf numFmtId="166" fontId="4" fillId="5" borderId="6" xfId="0" applyNumberFormat="1" applyFont="1" applyFill="1" applyBorder="1" applyAlignment="1">
      <alignment horizontal="centerContinuous"/>
    </xf>
    <xf numFmtId="0" fontId="4" fillId="5" borderId="0" xfId="0" applyFont="1" applyFill="1" applyAlignment="1">
      <alignment horizontal="centerContinuous"/>
    </xf>
    <xf numFmtId="0" fontId="0" fillId="5" borderId="0" xfId="0" applyFill="1" applyAlignment="1">
      <alignment horizontal="centerContinuous"/>
    </xf>
    <xf numFmtId="0" fontId="3" fillId="6" borderId="4" xfId="0" applyFont="1" applyFill="1" applyBorder="1" applyAlignment="1">
      <alignment horizontal="center"/>
    </xf>
    <xf numFmtId="168" fontId="4" fillId="6" borderId="4" xfId="0" applyNumberFormat="1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168" fontId="0" fillId="0" borderId="4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168" fontId="0" fillId="0" borderId="25" xfId="0" applyNumberFormat="1" applyBorder="1" applyAlignment="1">
      <alignment horizontal="center"/>
    </xf>
    <xf numFmtId="166" fontId="4" fillId="6" borderId="4" xfId="0" applyNumberFormat="1" applyFont="1" applyFill="1" applyBorder="1" applyAlignment="1">
      <alignment horizontal="center"/>
    </xf>
    <xf numFmtId="166" fontId="0" fillId="0" borderId="4" xfId="0" applyNumberFormat="1" applyBorder="1" applyAlignment="1">
      <alignment horizontal="center"/>
    </xf>
    <xf numFmtId="166" fontId="0" fillId="0" borderId="25" xfId="0" applyNumberFormat="1" applyBorder="1" applyAlignment="1">
      <alignment horizontal="center"/>
    </xf>
    <xf numFmtId="0" fontId="22" fillId="0" borderId="0" xfId="2" applyFont="1"/>
    <xf numFmtId="0" fontId="21" fillId="0" borderId="0" xfId="2"/>
    <xf numFmtId="10" fontId="21" fillId="0" borderId="0" xfId="2" applyNumberFormat="1"/>
    <xf numFmtId="0" fontId="23" fillId="7" borderId="0" xfId="2" applyFont="1" applyFill="1"/>
    <xf numFmtId="0" fontId="24" fillId="7" borderId="0" xfId="2" applyFont="1" applyFill="1"/>
    <xf numFmtId="0" fontId="25" fillId="9" borderId="0" xfId="2" applyFont="1" applyFill="1"/>
    <xf numFmtId="0" fontId="21" fillId="9" borderId="0" xfId="2" applyFill="1"/>
    <xf numFmtId="0" fontId="21" fillId="9" borderId="0" xfId="2" applyFill="1" applyAlignment="1">
      <alignment horizontal="center"/>
    </xf>
    <xf numFmtId="0" fontId="25" fillId="9" borderId="0" xfId="2" applyFont="1" applyFill="1" applyAlignment="1">
      <alignment horizontal="center"/>
    </xf>
    <xf numFmtId="10" fontId="26" fillId="9" borderId="0" xfId="2" applyNumberFormat="1" applyFont="1" applyFill="1" applyAlignment="1">
      <alignment horizontal="center"/>
    </xf>
    <xf numFmtId="0" fontId="26" fillId="0" borderId="0" xfId="2" applyFont="1"/>
    <xf numFmtId="3" fontId="26" fillId="0" borderId="0" xfId="2" applyNumberFormat="1" applyFont="1"/>
    <xf numFmtId="176" fontId="0" fillId="0" borderId="0" xfId="3" applyNumberFormat="1" applyFont="1" applyAlignment="1"/>
    <xf numFmtId="9" fontId="26" fillId="0" borderId="0" xfId="2" applyNumberFormat="1" applyFont="1"/>
    <xf numFmtId="164" fontId="27" fillId="0" borderId="0" xfId="2" applyNumberFormat="1" applyFont="1"/>
    <xf numFmtId="2" fontId="28" fillId="0" borderId="0" xfId="2" applyNumberFormat="1" applyFont="1" applyAlignment="1">
      <alignment horizontal="center"/>
    </xf>
    <xf numFmtId="0" fontId="25" fillId="0" borderId="0" xfId="2" applyFont="1"/>
    <xf numFmtId="176" fontId="25" fillId="0" borderId="0" xfId="3" applyNumberFormat="1" applyFont="1" applyAlignment="1">
      <alignment horizontal="center"/>
    </xf>
    <xf numFmtId="0" fontId="25" fillId="10" borderId="0" xfId="2" applyFont="1" applyFill="1"/>
    <xf numFmtId="0" fontId="21" fillId="10" borderId="0" xfId="2" applyFill="1"/>
    <xf numFmtId="176" fontId="21" fillId="10" borderId="0" xfId="2" applyNumberFormat="1" applyFill="1"/>
    <xf numFmtId="0" fontId="25" fillId="0" borderId="26" xfId="2" applyFont="1" applyBorder="1"/>
    <xf numFmtId="177" fontId="29" fillId="0" borderId="27" xfId="2" applyNumberFormat="1" applyFont="1" applyBorder="1"/>
    <xf numFmtId="10" fontId="28" fillId="9" borderId="0" xfId="2" applyNumberFormat="1" applyFont="1" applyFill="1" applyAlignment="1">
      <alignment horizontal="center"/>
    </xf>
    <xf numFmtId="10" fontId="30" fillId="9" borderId="0" xfId="2" applyNumberFormat="1" applyFont="1" applyFill="1" applyAlignment="1">
      <alignment horizontal="center"/>
    </xf>
    <xf numFmtId="10" fontId="31" fillId="9" borderId="0" xfId="2" applyNumberFormat="1" applyFont="1" applyFill="1" applyAlignment="1">
      <alignment horizontal="center"/>
    </xf>
    <xf numFmtId="0" fontId="25" fillId="11" borderId="0" xfId="2" applyFont="1" applyFill="1"/>
    <xf numFmtId="0" fontId="21" fillId="11" borderId="0" xfId="2" applyFill="1"/>
    <xf numFmtId="10" fontId="25" fillId="11" borderId="0" xfId="2" applyNumberFormat="1" applyFont="1" applyFill="1" applyAlignment="1">
      <alignment horizontal="center"/>
    </xf>
    <xf numFmtId="0" fontId="0" fillId="0" borderId="17" xfId="0" applyBorder="1"/>
    <xf numFmtId="0" fontId="4" fillId="0" borderId="18" xfId="0" applyFont="1" applyBorder="1"/>
    <xf numFmtId="0" fontId="2" fillId="0" borderId="0" xfId="0" applyFont="1"/>
    <xf numFmtId="167" fontId="2" fillId="0" borderId="0" xfId="0" applyNumberFormat="1" applyFont="1"/>
    <xf numFmtId="175" fontId="2" fillId="0" borderId="0" xfId="0" applyNumberFormat="1" applyFont="1"/>
    <xf numFmtId="0" fontId="32" fillId="7" borderId="0" xfId="0" applyFont="1" applyFill="1" applyAlignment="1">
      <alignment horizontal="centerContinuous"/>
    </xf>
    <xf numFmtId="0" fontId="33" fillId="7" borderId="0" xfId="0" applyFont="1" applyFill="1"/>
    <xf numFmtId="0" fontId="9" fillId="0" borderId="0" xfId="0" applyFont="1" applyAlignment="1">
      <alignment horizontal="left" indent="2"/>
    </xf>
    <xf numFmtId="0" fontId="4" fillId="5" borderId="0" xfId="0" applyFont="1" applyFill="1"/>
    <xf numFmtId="0" fontId="3" fillId="5" borderId="2" xfId="0" applyFont="1" applyFill="1" applyBorder="1" applyAlignment="1">
      <alignment horizontal="center"/>
    </xf>
    <xf numFmtId="167" fontId="4" fillId="0" borderId="0" xfId="0" applyNumberFormat="1" applyFont="1"/>
    <xf numFmtId="167" fontId="5" fillId="0" borderId="7" xfId="0" applyNumberFormat="1" applyFont="1" applyBorder="1"/>
    <xf numFmtId="167" fontId="8" fillId="0" borderId="7" xfId="0" applyNumberFormat="1" applyFont="1" applyBorder="1"/>
    <xf numFmtId="0" fontId="0" fillId="5" borderId="0" xfId="0" applyFill="1" applyAlignment="1">
      <alignment horizontal="center"/>
    </xf>
    <xf numFmtId="166" fontId="20" fillId="5" borderId="0" xfId="0" applyNumberFormat="1" applyFont="1" applyFill="1" applyAlignment="1">
      <alignment horizontal="center"/>
    </xf>
    <xf numFmtId="166" fontId="20" fillId="5" borderId="7" xfId="0" applyNumberFormat="1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175" fontId="12" fillId="0" borderId="0" xfId="0" applyNumberFormat="1" applyFont="1"/>
    <xf numFmtId="175" fontId="13" fillId="0" borderId="0" xfId="0" applyNumberFormat="1" applyFont="1"/>
    <xf numFmtId="0" fontId="0" fillId="0" borderId="6" xfId="0" applyBorder="1" applyAlignment="1">
      <alignment horizontal="left" indent="1"/>
    </xf>
    <xf numFmtId="0" fontId="4" fillId="0" borderId="0" xfId="0" applyFont="1" applyAlignment="1">
      <alignment horizontal="left" indent="1"/>
    </xf>
    <xf numFmtId="167" fontId="0" fillId="0" borderId="7" xfId="0" applyNumberFormat="1" applyBorder="1"/>
    <xf numFmtId="167" fontId="11" fillId="0" borderId="7" xfId="0" applyNumberFormat="1" applyFont="1" applyBorder="1"/>
    <xf numFmtId="9" fontId="2" fillId="0" borderId="0" xfId="0" applyNumberFormat="1" applyFont="1"/>
    <xf numFmtId="166" fontId="34" fillId="0" borderId="0" xfId="0" applyNumberFormat="1" applyFont="1"/>
    <xf numFmtId="0" fontId="0" fillId="5" borderId="0" xfId="0" applyFill="1" applyAlignment="1">
      <alignment horizontal="right"/>
    </xf>
    <xf numFmtId="178" fontId="3" fillId="0" borderId="12" xfId="0" applyNumberFormat="1" applyFont="1" applyBorder="1"/>
    <xf numFmtId="167" fontId="8" fillId="0" borderId="2" xfId="0" applyNumberFormat="1" applyFont="1" applyBorder="1"/>
    <xf numFmtId="167" fontId="3" fillId="0" borderId="7" xfId="0" applyNumberFormat="1" applyFont="1" applyBorder="1"/>
    <xf numFmtId="166" fontId="11" fillId="0" borderId="2" xfId="0" applyNumberFormat="1" applyFont="1" applyBorder="1"/>
    <xf numFmtId="167" fontId="11" fillId="0" borderId="2" xfId="0" applyNumberFormat="1" applyFont="1" applyBorder="1"/>
    <xf numFmtId="166" fontId="11" fillId="0" borderId="12" xfId="0" applyNumberFormat="1" applyFont="1" applyBorder="1"/>
    <xf numFmtId="0" fontId="0" fillId="0" borderId="0" xfId="0" applyAlignment="1">
      <alignment horizontal="left"/>
    </xf>
    <xf numFmtId="168" fontId="0" fillId="0" borderId="0" xfId="0" applyNumberFormat="1"/>
    <xf numFmtId="0" fontId="35" fillId="0" borderId="0" xfId="0" applyFont="1"/>
    <xf numFmtId="179" fontId="2" fillId="0" borderId="0" xfId="0" applyNumberFormat="1" applyFont="1"/>
    <xf numFmtId="167" fontId="4" fillId="5" borderId="0" xfId="0" applyNumberFormat="1" applyFont="1" applyFill="1"/>
    <xf numFmtId="168" fontId="4" fillId="5" borderId="0" xfId="0" applyNumberFormat="1" applyFont="1" applyFill="1"/>
    <xf numFmtId="166" fontId="2" fillId="5" borderId="0" xfId="0" applyNumberFormat="1" applyFont="1" applyFill="1"/>
    <xf numFmtId="0" fontId="14" fillId="0" borderId="7" xfId="0" applyFont="1" applyBorder="1"/>
    <xf numFmtId="179" fontId="14" fillId="0" borderId="7" xfId="0" applyNumberFormat="1" applyFont="1" applyBorder="1"/>
    <xf numFmtId="175" fontId="9" fillId="0" borderId="0" xfId="0" applyNumberFormat="1" applyFont="1"/>
    <xf numFmtId="168" fontId="4" fillId="0" borderId="7" xfId="0" applyNumberFormat="1" applyFont="1" applyBorder="1"/>
    <xf numFmtId="166" fontId="4" fillId="0" borderId="7" xfId="0" applyNumberFormat="1" applyFont="1" applyBorder="1"/>
    <xf numFmtId="167" fontId="7" fillId="0" borderId="0" xfId="0" applyNumberFormat="1" applyFont="1"/>
    <xf numFmtId="0" fontId="4" fillId="0" borderId="3" xfId="0" applyFont="1" applyBorder="1"/>
    <xf numFmtId="0" fontId="4" fillId="0" borderId="5" xfId="0" applyFont="1" applyBorder="1"/>
    <xf numFmtId="167" fontId="4" fillId="0" borderId="4" xfId="0" applyNumberFormat="1" applyFont="1" applyBorder="1"/>
    <xf numFmtId="168" fontId="4" fillId="0" borderId="0" xfId="0" applyNumberFormat="1" applyFont="1"/>
    <xf numFmtId="166" fontId="4" fillId="0" borderId="0" xfId="0" applyNumberFormat="1" applyFont="1"/>
    <xf numFmtId="0" fontId="0" fillId="0" borderId="18" xfId="0" applyBorder="1" applyAlignment="1">
      <alignment horizontal="centerContinuous"/>
    </xf>
    <xf numFmtId="166" fontId="4" fillId="5" borderId="0" xfId="0" applyNumberFormat="1" applyFont="1" applyFill="1" applyAlignment="1">
      <alignment horizontal="center" vertical="center"/>
    </xf>
    <xf numFmtId="168" fontId="2" fillId="5" borderId="0" xfId="0" applyNumberFormat="1" applyFont="1" applyFill="1" applyAlignment="1">
      <alignment horizontal="center" vertical="center"/>
    </xf>
    <xf numFmtId="168" fontId="0" fillId="5" borderId="0" xfId="0" applyNumberFormat="1" applyFill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6" fillId="0" borderId="18" xfId="0" applyFont="1" applyBorder="1" applyAlignment="1">
      <alignment horizontal="centerContinuous"/>
    </xf>
    <xf numFmtId="166" fontId="0" fillId="0" borderId="30" xfId="0" applyNumberFormat="1" applyBorder="1" applyAlignment="1">
      <alignment horizontal="center" vertical="center"/>
    </xf>
    <xf numFmtId="166" fontId="0" fillId="0" borderId="23" xfId="0" applyNumberFormat="1" applyBorder="1" applyAlignment="1">
      <alignment horizontal="center" vertical="center"/>
    </xf>
    <xf numFmtId="166" fontId="0" fillId="0" borderId="29" xfId="0" applyNumberFormat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7" fontId="0" fillId="0" borderId="30" xfId="0" applyNumberFormat="1" applyBorder="1" applyAlignment="1">
      <alignment horizontal="center" vertical="center"/>
    </xf>
    <xf numFmtId="167" fontId="0" fillId="0" borderId="23" xfId="0" applyNumberFormat="1" applyBorder="1" applyAlignment="1">
      <alignment horizontal="center" vertical="center"/>
    </xf>
    <xf numFmtId="167" fontId="0" fillId="0" borderId="29" xfId="0" applyNumberFormat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6" fontId="2" fillId="5" borderId="0" xfId="0" applyNumberFormat="1" applyFont="1" applyFill="1" applyAlignment="1">
      <alignment horizontal="center" vertical="center"/>
    </xf>
    <xf numFmtId="166" fontId="7" fillId="5" borderId="0" xfId="0" applyNumberFormat="1" applyFont="1" applyFill="1" applyAlignment="1">
      <alignment horizontal="center" vertical="center"/>
    </xf>
    <xf numFmtId="167" fontId="4" fillId="5" borderId="0" xfId="0" applyNumberFormat="1" applyFont="1" applyFill="1" applyAlignment="1">
      <alignment horizontal="center" vertical="center"/>
    </xf>
    <xf numFmtId="0" fontId="38" fillId="0" borderId="0" xfId="0" applyFont="1"/>
    <xf numFmtId="0" fontId="0" fillId="0" borderId="0" xfId="0" applyAlignment="1">
      <alignment vertical="center"/>
    </xf>
    <xf numFmtId="0" fontId="6" fillId="0" borderId="31" xfId="0" applyFont="1" applyBorder="1" applyAlignment="1">
      <alignment horizontal="center" vertical="center"/>
    </xf>
    <xf numFmtId="175" fontId="37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166" fontId="0" fillId="0" borderId="1" xfId="0" applyNumberFormat="1" applyBorder="1" applyAlignment="1">
      <alignment vertical="center"/>
    </xf>
    <xf numFmtId="168" fontId="0" fillId="0" borderId="1" xfId="0" applyNumberFormat="1" applyBorder="1" applyAlignment="1">
      <alignment vertical="center"/>
    </xf>
    <xf numFmtId="167" fontId="0" fillId="0" borderId="1" xfId="0" applyNumberFormat="1" applyBorder="1" applyAlignment="1">
      <alignment vertical="center"/>
    </xf>
    <xf numFmtId="0" fontId="0" fillId="0" borderId="0" xfId="0" applyAlignment="1">
      <alignment horizontal="centerContinuous"/>
    </xf>
    <xf numFmtId="0" fontId="6" fillId="0" borderId="0" xfId="0" applyFont="1" applyAlignment="1">
      <alignment horizontal="centerContinuous"/>
    </xf>
    <xf numFmtId="166" fontId="4" fillId="0" borderId="0" xfId="0" applyNumberFormat="1" applyFont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66" fontId="4" fillId="0" borderId="32" xfId="0" applyNumberFormat="1" applyFont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39" fillId="0" borderId="0" xfId="0" applyFont="1"/>
    <xf numFmtId="0" fontId="6" fillId="0" borderId="31" xfId="0" applyFont="1" applyBorder="1" applyAlignment="1">
      <alignment vertical="center"/>
    </xf>
    <xf numFmtId="0" fontId="6" fillId="0" borderId="31" xfId="0" applyFont="1" applyBorder="1" applyAlignment="1">
      <alignment horizontal="right" vertical="center"/>
    </xf>
    <xf numFmtId="0" fontId="0" fillId="12" borderId="0" xfId="0" applyFill="1" applyAlignment="1">
      <alignment vertical="center"/>
    </xf>
    <xf numFmtId="167" fontId="4" fillId="12" borderId="0" xfId="0" applyNumberFormat="1" applyFont="1" applyFill="1" applyAlignment="1">
      <alignment vertical="center"/>
    </xf>
    <xf numFmtId="0" fontId="4" fillId="12" borderId="0" xfId="0" applyFont="1" applyFill="1" applyAlignment="1">
      <alignment vertical="center"/>
    </xf>
    <xf numFmtId="0" fontId="0" fillId="0" borderId="36" xfId="0" applyBorder="1" applyAlignment="1">
      <alignment vertical="center"/>
    </xf>
    <xf numFmtId="167" fontId="0" fillId="0" borderId="36" xfId="0" applyNumberFormat="1" applyBorder="1" applyAlignment="1">
      <alignment vertical="center"/>
    </xf>
    <xf numFmtId="166" fontId="9" fillId="0" borderId="1" xfId="0" applyNumberFormat="1" applyFont="1" applyBorder="1" applyAlignment="1">
      <alignment vertical="center"/>
    </xf>
    <xf numFmtId="166" fontId="9" fillId="0" borderId="36" xfId="0" applyNumberFormat="1" applyFont="1" applyBorder="1" applyAlignment="1">
      <alignment vertical="center"/>
    </xf>
    <xf numFmtId="180" fontId="0" fillId="0" borderId="0" xfId="0" applyNumberFormat="1"/>
    <xf numFmtId="4" fontId="21" fillId="0" borderId="0" xfId="2" applyNumberFormat="1"/>
    <xf numFmtId="4" fontId="0" fillId="10" borderId="0" xfId="3" applyNumberFormat="1" applyFont="1" applyFill="1" applyAlignment="1"/>
    <xf numFmtId="181" fontId="40" fillId="0" borderId="0" xfId="3" applyNumberFormat="1" applyFont="1" applyAlignment="1">
      <alignment horizontal="center"/>
    </xf>
    <xf numFmtId="0" fontId="36" fillId="0" borderId="28" xfId="0" applyFont="1" applyBorder="1" applyAlignment="1">
      <alignment horizontal="center" vertical="center" textRotation="90" wrapText="1"/>
    </xf>
    <xf numFmtId="0" fontId="6" fillId="0" borderId="0" xfId="0" applyFont="1" applyAlignment="1">
      <alignment horizontal="center" textRotation="90"/>
    </xf>
  </cellXfs>
  <cellStyles count="4">
    <cellStyle name="Normal" xfId="0" builtinId="0"/>
    <cellStyle name="Normal 2" xfId="2" xr:uid="{95905097-450D-43CC-8B84-FFE50FC731A2}"/>
    <cellStyle name="Per cent" xfId="1" builtinId="5"/>
    <cellStyle name="Percent 2" xfId="3" xr:uid="{8C1F27E7-8FA8-4AF5-BBE5-F32E44CE88BF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72</xdr:row>
      <xdr:rowOff>152400</xdr:rowOff>
    </xdr:from>
    <xdr:to>
      <xdr:col>8</xdr:col>
      <xdr:colOff>257175</xdr:colOff>
      <xdr:row>76</xdr:row>
      <xdr:rowOff>76200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48304FC-58CD-40AA-BD3E-9DD27C3A6408}"/>
            </a:ext>
          </a:extLst>
        </xdr:cNvPr>
        <xdr:cNvSpPr/>
      </xdr:nvSpPr>
      <xdr:spPr>
        <a:xfrm>
          <a:off x="3848100" y="13382625"/>
          <a:ext cx="2057400" cy="666750"/>
        </a:xfrm>
        <a:prstGeom prst="rect">
          <a:avLst/>
        </a:prstGeom>
        <a:solidFill>
          <a:schemeClr val="accent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Arrange formula if you would like to use it as a % of revenue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7</xdr:row>
      <xdr:rowOff>133350</xdr:rowOff>
    </xdr:from>
    <xdr:to>
      <xdr:col>4</xdr:col>
      <xdr:colOff>133350</xdr:colOff>
      <xdr:row>7</xdr:row>
      <xdr:rowOff>133350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FBC14E10-A1E9-484D-8543-2E2713EDE15C}"/>
            </a:ext>
          </a:extLst>
        </xdr:cNvPr>
        <xdr:cNvCxnSpPr/>
      </xdr:nvCxnSpPr>
      <xdr:spPr>
        <a:xfrm>
          <a:off x="3086100" y="1419225"/>
          <a:ext cx="7048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123825</xdr:colOff>
      <xdr:row>8</xdr:row>
      <xdr:rowOff>114300</xdr:rowOff>
    </xdr:from>
    <xdr:to>
      <xdr:col>4</xdr:col>
      <xdr:colOff>142875</xdr:colOff>
      <xdr:row>8</xdr:row>
      <xdr:rowOff>114300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462EA438-538A-4B18-AE6D-B024345DD3D3}"/>
            </a:ext>
          </a:extLst>
        </xdr:cNvPr>
        <xdr:cNvCxnSpPr/>
      </xdr:nvCxnSpPr>
      <xdr:spPr>
        <a:xfrm>
          <a:off x="3095625" y="1647825"/>
          <a:ext cx="7048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123825</xdr:colOff>
      <xdr:row>9</xdr:row>
      <xdr:rowOff>114300</xdr:rowOff>
    </xdr:from>
    <xdr:to>
      <xdr:col>4</xdr:col>
      <xdr:colOff>142875</xdr:colOff>
      <xdr:row>9</xdr:row>
      <xdr:rowOff>114300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8F37DF0A-6C1A-4E6B-8854-F4E6E6F9441C}"/>
            </a:ext>
          </a:extLst>
        </xdr:cNvPr>
        <xdr:cNvCxnSpPr/>
      </xdr:nvCxnSpPr>
      <xdr:spPr>
        <a:xfrm>
          <a:off x="3095625" y="1895475"/>
          <a:ext cx="7048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133350</xdr:colOff>
      <xdr:row>10</xdr:row>
      <xdr:rowOff>133350</xdr:rowOff>
    </xdr:from>
    <xdr:to>
      <xdr:col>4</xdr:col>
      <xdr:colOff>152400</xdr:colOff>
      <xdr:row>10</xdr:row>
      <xdr:rowOff>133350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9829FB10-0FD4-4D98-8FFB-324ACA7B80A4}"/>
            </a:ext>
          </a:extLst>
        </xdr:cNvPr>
        <xdr:cNvCxnSpPr/>
      </xdr:nvCxnSpPr>
      <xdr:spPr>
        <a:xfrm>
          <a:off x="3105150" y="2162175"/>
          <a:ext cx="7048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133350</xdr:colOff>
      <xdr:row>11</xdr:row>
      <xdr:rowOff>152400</xdr:rowOff>
    </xdr:from>
    <xdr:to>
      <xdr:col>4</xdr:col>
      <xdr:colOff>152400</xdr:colOff>
      <xdr:row>11</xdr:row>
      <xdr:rowOff>152400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5B6E2F15-57D0-428B-8B70-9AF7CF731A41}"/>
            </a:ext>
          </a:extLst>
        </xdr:cNvPr>
        <xdr:cNvCxnSpPr/>
      </xdr:nvCxnSpPr>
      <xdr:spPr>
        <a:xfrm>
          <a:off x="3105150" y="2428875"/>
          <a:ext cx="7048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User/OneDrive/Masa&#252;st&#252;/Gaming%20Companies/Zerosum%20Games/Model/2020%2006%2025%20-%20Zerosum%20Mini%20Model_v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Control"/>
      <sheetName val="Input &amp; Calcs"/>
      <sheetName val="Model"/>
      <sheetName val="DCF"/>
      <sheetName val="EV"/>
      <sheetName val="WACC"/>
    </sheetNames>
    <sheetDataSet>
      <sheetData sheetId="0"/>
      <sheetData sheetId="1">
        <row r="2">
          <cell r="C2">
            <v>1</v>
          </cell>
          <cell r="F2">
            <v>1</v>
          </cell>
          <cell r="I2">
            <v>2</v>
          </cell>
          <cell r="L2">
            <v>1</v>
          </cell>
          <cell r="O2">
            <v>1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Company Theme">
  <a:themeElements>
    <a:clrScheme name="Company Palette">
      <a:dk1>
        <a:sysClr val="windowText" lastClr="000000"/>
      </a:dk1>
      <a:lt1>
        <a:sysClr val="window" lastClr="FFFFFF"/>
      </a:lt1>
      <a:dk2>
        <a:srgbClr val="00A1E2"/>
      </a:dk2>
      <a:lt2>
        <a:srgbClr val="A9B1B0"/>
      </a:lt2>
      <a:accent1>
        <a:srgbClr val="005AA4"/>
      </a:accent1>
      <a:accent2>
        <a:srgbClr val="00A1E2"/>
      </a:accent2>
      <a:accent3>
        <a:srgbClr val="3BC3A3"/>
      </a:accent3>
      <a:accent4>
        <a:srgbClr val="6769B5"/>
      </a:accent4>
      <a:accent5>
        <a:srgbClr val="D0B86A"/>
      </a:accent5>
      <a:accent6>
        <a:srgbClr val="93959B"/>
      </a:accent6>
      <a:hlink>
        <a:srgbClr val="0095D0"/>
      </a:hlink>
      <a:folHlink>
        <a:srgbClr val="50CEFF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5D01D-A3A9-4F70-AA28-224583CA72DD}">
  <dimension ref="C5:F18"/>
  <sheetViews>
    <sheetView showGridLines="0" view="pageBreakPreview" zoomScale="115" zoomScaleNormal="100" zoomScaleSheetLayoutView="115" workbookViewId="0">
      <selection activeCell="E28" sqref="E28"/>
    </sheetView>
  </sheetViews>
  <sheetFormatPr baseColWidth="10" defaultColWidth="8.83203125" defaultRowHeight="14" x14ac:dyDescent="0.15"/>
  <cols>
    <col min="1" max="2" width="3.6640625" customWidth="1"/>
    <col min="3" max="3" width="22.1640625" bestFit="1" customWidth="1"/>
    <col min="6" max="6" width="13.5" bestFit="1" customWidth="1"/>
  </cols>
  <sheetData>
    <row r="5" spans="3:4" x14ac:dyDescent="0.15">
      <c r="D5" t="s">
        <v>0</v>
      </c>
    </row>
    <row r="7" spans="3:4" x14ac:dyDescent="0.15">
      <c r="D7" t="s">
        <v>1</v>
      </c>
    </row>
    <row r="8" spans="3:4" x14ac:dyDescent="0.15">
      <c r="D8" t="s">
        <v>2</v>
      </c>
    </row>
    <row r="9" spans="3:4" x14ac:dyDescent="0.15">
      <c r="D9" t="s">
        <v>3</v>
      </c>
    </row>
    <row r="10" spans="3:4" x14ac:dyDescent="0.15">
      <c r="D10" t="s">
        <v>4</v>
      </c>
    </row>
    <row r="12" spans="3:4" x14ac:dyDescent="0.15">
      <c r="C12" t="s">
        <v>75</v>
      </c>
      <c r="D12" s="71">
        <f ca="1">+TODAY()</f>
        <v>45859</v>
      </c>
    </row>
    <row r="14" spans="3:4" x14ac:dyDescent="0.15">
      <c r="C14" t="s">
        <v>74</v>
      </c>
      <c r="D14" s="36">
        <f ca="1">+YEAR(D12)-1</f>
        <v>2024</v>
      </c>
    </row>
    <row r="18" spans="6:6" x14ac:dyDescent="0.15">
      <c r="F18" t="s">
        <v>5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25928-B88B-4E91-ADB2-1382B2ABA5AF}">
  <dimension ref="C3:V90"/>
  <sheetViews>
    <sheetView showGridLines="0" view="pageBreakPreview" zoomScale="80" zoomScaleNormal="100" zoomScaleSheetLayoutView="80" workbookViewId="0">
      <selection activeCell="Q20" sqref="Q20"/>
    </sheetView>
  </sheetViews>
  <sheetFormatPr baseColWidth="10" defaultColWidth="8.83203125" defaultRowHeight="14" x14ac:dyDescent="0.15"/>
  <cols>
    <col min="1" max="2" width="1.6640625" customWidth="1"/>
    <col min="3" max="3" width="28.1640625" bestFit="1" customWidth="1"/>
    <col min="5" max="5" width="16.5" bestFit="1" customWidth="1"/>
    <col min="7" max="7" width="22.6640625" bestFit="1" customWidth="1"/>
    <col min="8" max="8" width="16.5" bestFit="1" customWidth="1"/>
    <col min="10" max="10" width="22" bestFit="1" customWidth="1"/>
    <col min="12" max="12" width="1.6640625" customWidth="1"/>
    <col min="15" max="15" width="7.6640625" customWidth="1"/>
  </cols>
  <sheetData>
    <row r="3" spans="3:12" x14ac:dyDescent="0.15">
      <c r="C3" s="55"/>
      <c r="D3" s="55"/>
      <c r="E3" s="55"/>
      <c r="F3" s="55"/>
      <c r="G3" s="55"/>
      <c r="H3" s="55"/>
      <c r="I3" s="55"/>
      <c r="J3" s="55"/>
      <c r="K3" s="55"/>
      <c r="L3" t="s">
        <v>80</v>
      </c>
    </row>
    <row r="4" spans="3:12" x14ac:dyDescent="0.15">
      <c r="C4" s="68" t="s">
        <v>139</v>
      </c>
      <c r="D4" s="55"/>
      <c r="E4" s="55"/>
      <c r="F4" s="55"/>
      <c r="G4" s="55"/>
      <c r="H4" s="55"/>
      <c r="I4" s="55"/>
      <c r="J4" s="55"/>
      <c r="K4" s="55"/>
    </row>
    <row r="5" spans="3:12" x14ac:dyDescent="0.15">
      <c r="C5" s="68" t="str">
        <f>+Model!C5</f>
        <v>$ MM, unless otherwise stated</v>
      </c>
      <c r="D5" s="55"/>
      <c r="E5" s="55"/>
      <c r="F5" s="55"/>
      <c r="G5" s="55"/>
      <c r="H5" s="55"/>
      <c r="I5" s="55"/>
      <c r="J5" s="55"/>
      <c r="K5" s="55"/>
    </row>
    <row r="7" spans="3:12" x14ac:dyDescent="0.15">
      <c r="C7" s="56" t="s">
        <v>140</v>
      </c>
      <c r="D7" s="56"/>
      <c r="E7" s="56"/>
      <c r="F7" s="56"/>
      <c r="G7" s="56"/>
      <c r="H7" s="56"/>
      <c r="I7" s="56"/>
      <c r="J7" s="56"/>
      <c r="K7" s="56"/>
    </row>
    <row r="9" spans="3:12" x14ac:dyDescent="0.15">
      <c r="C9" s="192" t="s">
        <v>141</v>
      </c>
      <c r="D9" s="193"/>
      <c r="E9" s="193"/>
      <c r="G9" s="192" t="s">
        <v>142</v>
      </c>
      <c r="H9" s="192"/>
      <c r="J9" s="192" t="s">
        <v>143</v>
      </c>
      <c r="K9" s="192"/>
    </row>
    <row r="11" spans="3:12" x14ac:dyDescent="0.15">
      <c r="C11" s="233" t="s">
        <v>144</v>
      </c>
      <c r="D11" s="233" t="s">
        <v>224</v>
      </c>
      <c r="E11" s="233" t="s">
        <v>225</v>
      </c>
      <c r="G11" t="s">
        <v>160</v>
      </c>
      <c r="H11" s="235">
        <v>10</v>
      </c>
      <c r="J11" t="s">
        <v>103</v>
      </c>
      <c r="K11" s="79">
        <f>+H13</f>
        <v>9.8625000000000007</v>
      </c>
    </row>
    <row r="12" spans="3:12" x14ac:dyDescent="0.15">
      <c r="C12" t="s">
        <v>145</v>
      </c>
      <c r="D12" s="28">
        <f>+D15-SUM(D13:D14)</f>
        <v>71.848312499999992</v>
      </c>
      <c r="E12" s="265">
        <f>+D12/$H$13</f>
        <v>7.2849999999999984</v>
      </c>
      <c r="J12" t="s">
        <v>33</v>
      </c>
      <c r="K12" s="67">
        <v>5</v>
      </c>
    </row>
    <row r="13" spans="3:12" x14ac:dyDescent="0.15">
      <c r="C13" t="s">
        <v>146</v>
      </c>
      <c r="D13" s="28">
        <f>+K11*K16</f>
        <v>34.518750000000004</v>
      </c>
      <c r="E13" s="265">
        <f t="shared" ref="E13:E15" si="0">+D13/$H$13</f>
        <v>3.5</v>
      </c>
      <c r="G13" s="33" t="s">
        <v>103</v>
      </c>
      <c r="H13" s="79">
        <f>+Model!M31</f>
        <v>9.8625000000000007</v>
      </c>
      <c r="J13" s="81" t="s">
        <v>177</v>
      </c>
      <c r="K13" s="81">
        <f>+K12*K11</f>
        <v>49.3125</v>
      </c>
    </row>
    <row r="14" spans="3:12" x14ac:dyDescent="0.15">
      <c r="C14" t="s">
        <v>147</v>
      </c>
      <c r="D14" s="28">
        <f>+K11*K22</f>
        <v>14.793750000000001</v>
      </c>
      <c r="E14" s="265">
        <f t="shared" si="0"/>
        <v>1.5</v>
      </c>
      <c r="G14" s="33" t="s">
        <v>161</v>
      </c>
      <c r="H14" s="265">
        <f>+H21</f>
        <v>12</v>
      </c>
    </row>
    <row r="15" spans="3:12" x14ac:dyDescent="0.15">
      <c r="C15" s="240" t="s">
        <v>148</v>
      </c>
      <c r="D15" s="268">
        <f>+D21</f>
        <v>121.16081250000001</v>
      </c>
      <c r="E15" s="269">
        <f t="shared" si="0"/>
        <v>12.285</v>
      </c>
      <c r="G15" s="81" t="s">
        <v>162</v>
      </c>
      <c r="H15" s="82">
        <f>+H14*H13</f>
        <v>118.35000000000001</v>
      </c>
      <c r="J15" s="266" t="s">
        <v>146</v>
      </c>
    </row>
    <row r="16" spans="3:12" x14ac:dyDescent="0.15">
      <c r="G16" s="33" t="s">
        <v>32</v>
      </c>
      <c r="H16" s="235">
        <v>-20</v>
      </c>
      <c r="J16" t="s">
        <v>33</v>
      </c>
      <c r="K16" s="67">
        <v>3.5</v>
      </c>
    </row>
    <row r="17" spans="3:11" x14ac:dyDescent="0.15">
      <c r="C17" s="233" t="s">
        <v>149</v>
      </c>
      <c r="D17" s="233" t="s">
        <v>224</v>
      </c>
      <c r="E17" s="233" t="s">
        <v>225</v>
      </c>
      <c r="G17" s="33" t="s">
        <v>267</v>
      </c>
      <c r="H17" s="235">
        <v>15</v>
      </c>
      <c r="J17" t="s">
        <v>178</v>
      </c>
      <c r="K17" s="234">
        <v>400</v>
      </c>
    </row>
    <row r="18" spans="3:11" x14ac:dyDescent="0.15">
      <c r="C18" t="s">
        <v>121</v>
      </c>
      <c r="D18" s="28">
        <f>+H18</f>
        <v>103.35000000000001</v>
      </c>
      <c r="E18" s="265">
        <f>+D18/$H$13</f>
        <v>10.479087452471482</v>
      </c>
      <c r="G18" s="81" t="s">
        <v>164</v>
      </c>
      <c r="H18" s="82">
        <f>+H15+H16+H17-H11</f>
        <v>103.35000000000001</v>
      </c>
      <c r="J18" t="s">
        <v>179</v>
      </c>
      <c r="K18" s="235">
        <v>99</v>
      </c>
    </row>
    <row r="19" spans="3:11" x14ac:dyDescent="0.15">
      <c r="C19" t="s">
        <v>150</v>
      </c>
      <c r="D19" s="28">
        <f>-H16-H17+H11</f>
        <v>15</v>
      </c>
      <c r="E19" s="265">
        <f t="shared" ref="E19:E21" si="1">+D19/$H$13</f>
        <v>1.520912547528517</v>
      </c>
      <c r="J19" t="s">
        <v>263</v>
      </c>
      <c r="K19" s="66">
        <v>0.1</v>
      </c>
    </row>
    <row r="20" spans="3:11" x14ac:dyDescent="0.15">
      <c r="C20" t="s">
        <v>151</v>
      </c>
      <c r="D20" s="28">
        <f>+K35+K38+(100%-K18/100)*D13+(100%-K24/100)*D14</f>
        <v>2.8108125000000008</v>
      </c>
      <c r="E20" s="265">
        <f t="shared" si="1"/>
        <v>0.28500000000000009</v>
      </c>
      <c r="G20" s="192" t="s">
        <v>165</v>
      </c>
      <c r="H20" s="192"/>
    </row>
    <row r="21" spans="3:11" x14ac:dyDescent="0.15">
      <c r="C21" s="240" t="s">
        <v>148</v>
      </c>
      <c r="D21" s="268">
        <f>SUM(D18:D20)</f>
        <v>121.16081250000001</v>
      </c>
      <c r="E21" s="269">
        <f t="shared" si="1"/>
        <v>12.285</v>
      </c>
      <c r="G21" s="194">
        <v>1</v>
      </c>
      <c r="H21" s="195">
        <f>+CHOOSE(G21,H22,H23,H24,H25,H26)</f>
        <v>12</v>
      </c>
      <c r="J21" s="266" t="s">
        <v>147</v>
      </c>
    </row>
    <row r="22" spans="3:11" x14ac:dyDescent="0.15">
      <c r="G22" s="196">
        <v>1</v>
      </c>
      <c r="H22" s="197">
        <v>12</v>
      </c>
      <c r="J22" t="s">
        <v>33</v>
      </c>
      <c r="K22" s="265">
        <f>+K12-K16</f>
        <v>1.5</v>
      </c>
    </row>
    <row r="23" spans="3:11" x14ac:dyDescent="0.15">
      <c r="C23" s="192" t="s">
        <v>152</v>
      </c>
      <c r="D23" s="192"/>
      <c r="E23" s="192"/>
      <c r="G23" s="196">
        <v>2</v>
      </c>
      <c r="H23" s="197">
        <f>+H22+1</f>
        <v>13</v>
      </c>
      <c r="J23" t="s">
        <v>178</v>
      </c>
      <c r="K23" s="234">
        <v>600</v>
      </c>
    </row>
    <row r="24" spans="3:11" x14ac:dyDescent="0.15">
      <c r="G24" s="196">
        <v>3</v>
      </c>
      <c r="H24" s="197">
        <f>+H23+1</f>
        <v>14</v>
      </c>
      <c r="J24" t="s">
        <v>179</v>
      </c>
      <c r="K24" s="235">
        <v>98</v>
      </c>
    </row>
    <row r="25" spans="3:11" x14ac:dyDescent="0.15">
      <c r="C25" s="33" t="s">
        <v>153</v>
      </c>
      <c r="E25" s="270">
        <v>0.2</v>
      </c>
      <c r="G25" s="196">
        <v>4</v>
      </c>
      <c r="H25" s="197">
        <f>+H24+1</f>
        <v>15</v>
      </c>
      <c r="J25" t="s">
        <v>263</v>
      </c>
      <c r="K25" s="66">
        <v>0.1</v>
      </c>
    </row>
    <row r="26" spans="3:11" x14ac:dyDescent="0.15">
      <c r="C26" s="33" t="s">
        <v>154</v>
      </c>
      <c r="E26" s="28">
        <f ca="1">+HLOOKUP($H$32,LBO!I86:N102,17,0)</f>
        <v>115.0539448980646</v>
      </c>
      <c r="G26" s="198">
        <v>5</v>
      </c>
      <c r="H26" s="199">
        <f>+H25+1</f>
        <v>16</v>
      </c>
    </row>
    <row r="27" spans="3:11" x14ac:dyDescent="0.15">
      <c r="C27" s="81" t="s">
        <v>155</v>
      </c>
      <c r="D27" s="81"/>
      <c r="E27" s="82">
        <f ca="1">+E26/(1+E25)^H33</f>
        <v>55.485120031859857</v>
      </c>
      <c r="J27" s="266" t="s">
        <v>180</v>
      </c>
    </row>
    <row r="28" spans="3:11" x14ac:dyDescent="0.15">
      <c r="C28" s="33" t="s">
        <v>156</v>
      </c>
      <c r="E28" s="28">
        <f>+K13</f>
        <v>49.3125</v>
      </c>
      <c r="G28" s="192" t="s">
        <v>65</v>
      </c>
      <c r="H28" s="192"/>
      <c r="J28" t="s">
        <v>181</v>
      </c>
      <c r="K28" s="235">
        <v>100</v>
      </c>
    </row>
    <row r="29" spans="3:11" x14ac:dyDescent="0.15">
      <c r="C29" s="33" t="s">
        <v>157</v>
      </c>
      <c r="E29" s="28">
        <f>+H17*-1</f>
        <v>-15</v>
      </c>
      <c r="J29" t="s">
        <v>178</v>
      </c>
      <c r="K29" s="235">
        <v>200</v>
      </c>
    </row>
    <row r="30" spans="3:11" x14ac:dyDescent="0.15">
      <c r="C30" s="33" t="s">
        <v>158</v>
      </c>
      <c r="E30" s="28">
        <f>+-H15*K34-K13*K37-(100%-K18/100)*D13-(100%-K24/100)*D14</f>
        <v>-2.8108125000000008</v>
      </c>
      <c r="G30" t="s">
        <v>166</v>
      </c>
      <c r="H30" s="28">
        <f>+D12</f>
        <v>71.848312499999992</v>
      </c>
      <c r="J30" t="s">
        <v>182</v>
      </c>
      <c r="K30" s="66">
        <v>1E-3</v>
      </c>
    </row>
    <row r="31" spans="3:11" x14ac:dyDescent="0.15">
      <c r="C31" s="81" t="s">
        <v>159</v>
      </c>
      <c r="D31" s="81"/>
      <c r="E31" s="82">
        <f ca="1">+SUM(E27:E30)</f>
        <v>86.986807531859853</v>
      </c>
      <c r="G31" t="s">
        <v>167</v>
      </c>
      <c r="H31" s="236">
        <v>44561</v>
      </c>
    </row>
    <row r="32" spans="3:11" x14ac:dyDescent="0.15">
      <c r="E32" s="331"/>
      <c r="G32" t="s">
        <v>168</v>
      </c>
      <c r="H32" s="236">
        <v>46022</v>
      </c>
      <c r="J32" s="192" t="s">
        <v>151</v>
      </c>
      <c r="K32" s="192"/>
    </row>
    <row r="33" spans="5:11" x14ac:dyDescent="0.15">
      <c r="G33" s="271" t="s">
        <v>169</v>
      </c>
      <c r="H33" s="272">
        <f>+YEARFRAC(H31,H32)</f>
        <v>4</v>
      </c>
    </row>
    <row r="34" spans="5:11" x14ac:dyDescent="0.15">
      <c r="E34" s="82"/>
      <c r="J34" t="s">
        <v>183</v>
      </c>
      <c r="K34" s="66">
        <v>0.01</v>
      </c>
    </row>
    <row r="35" spans="5:11" x14ac:dyDescent="0.15">
      <c r="G35" s="33" t="s">
        <v>170</v>
      </c>
      <c r="H35" s="265">
        <f>+H44</f>
        <v>12</v>
      </c>
      <c r="J35" s="81" t="s">
        <v>184</v>
      </c>
      <c r="K35" s="82">
        <f>+K34*H15</f>
        <v>1.1835000000000002</v>
      </c>
    </row>
    <row r="36" spans="5:11" x14ac:dyDescent="0.15">
      <c r="G36" s="33" t="s">
        <v>171</v>
      </c>
      <c r="H36" s="28">
        <f>HLOOKUP($H$32,LBO!$I$86:$N$102,6,0)</f>
        <v>14.243918671875004</v>
      </c>
    </row>
    <row r="37" spans="5:11" x14ac:dyDescent="0.15">
      <c r="G37" s="5" t="s">
        <v>119</v>
      </c>
      <c r="H37" s="242">
        <f>+H36*H35</f>
        <v>170.92702406250004</v>
      </c>
      <c r="J37" t="s">
        <v>185</v>
      </c>
      <c r="K37" s="66">
        <v>0.02</v>
      </c>
    </row>
    <row r="38" spans="5:11" x14ac:dyDescent="0.15">
      <c r="G38" s="33" t="s">
        <v>172</v>
      </c>
      <c r="H38" s="28">
        <f ca="1">+HLOOKUP($H$32,LBO!$I$86:$N$94,9,0)*-1</f>
        <v>-55.873079164435431</v>
      </c>
      <c r="J38" s="81" t="s">
        <v>186</v>
      </c>
      <c r="K38" s="82">
        <f>+K37*K13</f>
        <v>0.98625000000000007</v>
      </c>
    </row>
    <row r="39" spans="5:11" x14ac:dyDescent="0.15">
      <c r="G39" s="181" t="s">
        <v>154</v>
      </c>
      <c r="H39" s="279">
        <f ca="1">+H37+H38</f>
        <v>115.0539448980646</v>
      </c>
      <c r="I39">
        <f ca="1">+(H39/H30)^(1/5)-1</f>
        <v>9.874519375750479E-2</v>
      </c>
    </row>
    <row r="40" spans="5:11" x14ac:dyDescent="0.15">
      <c r="G40" s="5" t="s">
        <v>173</v>
      </c>
      <c r="H40" s="281">
        <f ca="1">+(H39/H30)^(1/H33)-1</f>
        <v>0.1249189567948723</v>
      </c>
      <c r="J40" t="s">
        <v>187</v>
      </c>
      <c r="K40" s="267">
        <v>7</v>
      </c>
    </row>
    <row r="41" spans="5:11" x14ac:dyDescent="0.15">
      <c r="G41" s="5" t="s">
        <v>174</v>
      </c>
      <c r="H41" s="280">
        <f ca="1">+H39/D12</f>
        <v>1.601345124119159</v>
      </c>
      <c r="J41" s="81" t="s">
        <v>188</v>
      </c>
      <c r="K41" s="82">
        <f>+K38/K40</f>
        <v>0.14089285714285715</v>
      </c>
    </row>
    <row r="43" spans="5:11" x14ac:dyDescent="0.15">
      <c r="G43" s="192" t="s">
        <v>175</v>
      </c>
      <c r="H43" s="192"/>
    </row>
    <row r="44" spans="5:11" x14ac:dyDescent="0.15">
      <c r="G44" s="194">
        <v>1</v>
      </c>
      <c r="H44" s="195">
        <f>+CHOOSE(G44,H45,H46,H47,H48,H49)</f>
        <v>12</v>
      </c>
    </row>
    <row r="45" spans="5:11" x14ac:dyDescent="0.15">
      <c r="G45" s="196">
        <v>1</v>
      </c>
      <c r="H45" s="197">
        <v>12</v>
      </c>
    </row>
    <row r="46" spans="5:11" x14ac:dyDescent="0.15">
      <c r="G46" s="196">
        <v>2</v>
      </c>
      <c r="H46" s="197">
        <f>+H45+1</f>
        <v>13</v>
      </c>
    </row>
    <row r="47" spans="5:11" x14ac:dyDescent="0.15">
      <c r="G47" s="196">
        <v>3</v>
      </c>
      <c r="H47" s="197">
        <f>+H46+1</f>
        <v>14</v>
      </c>
    </row>
    <row r="48" spans="5:11" x14ac:dyDescent="0.15">
      <c r="G48" s="196">
        <v>4</v>
      </c>
      <c r="H48" s="197">
        <f>+H47+1</f>
        <v>15</v>
      </c>
    </row>
    <row r="49" spans="7:22" x14ac:dyDescent="0.15">
      <c r="G49" s="198">
        <v>5</v>
      </c>
      <c r="H49" s="199">
        <f>+H48+1</f>
        <v>16</v>
      </c>
    </row>
    <row r="51" spans="7:22" x14ac:dyDescent="0.15">
      <c r="G51" s="192" t="s">
        <v>176</v>
      </c>
      <c r="H51" s="192"/>
    </row>
    <row r="52" spans="7:22" x14ac:dyDescent="0.15">
      <c r="G52" s="194">
        <v>1</v>
      </c>
      <c r="H52" s="200">
        <f>+CHOOSE(G52,H53,H54,H55,H56,H57)</f>
        <v>0.05</v>
      </c>
    </row>
    <row r="53" spans="7:22" x14ac:dyDescent="0.15">
      <c r="G53" s="196">
        <v>1</v>
      </c>
      <c r="H53" s="201">
        <v>0.05</v>
      </c>
    </row>
    <row r="54" spans="7:22" x14ac:dyDescent="0.15">
      <c r="G54" s="196">
        <v>2</v>
      </c>
      <c r="H54" s="201">
        <f>+H53+1%</f>
        <v>6.0000000000000005E-2</v>
      </c>
    </row>
    <row r="55" spans="7:22" x14ac:dyDescent="0.15">
      <c r="G55" s="196">
        <v>3</v>
      </c>
      <c r="H55" s="201">
        <f t="shared" ref="H55:H57" si="2">+H54+1%</f>
        <v>7.0000000000000007E-2</v>
      </c>
    </row>
    <row r="56" spans="7:22" x14ac:dyDescent="0.15">
      <c r="G56" s="196">
        <v>4</v>
      </c>
      <c r="H56" s="201">
        <f t="shared" si="2"/>
        <v>0.08</v>
      </c>
    </row>
    <row r="57" spans="7:22" x14ac:dyDescent="0.15">
      <c r="G57" s="198">
        <v>5</v>
      </c>
      <c r="H57" s="202">
        <f t="shared" si="2"/>
        <v>0.09</v>
      </c>
    </row>
    <row r="59" spans="7:22" ht="15" thickBot="1" x14ac:dyDescent="0.2">
      <c r="O59" s="130" t="s">
        <v>223</v>
      </c>
      <c r="P59" s="232"/>
      <c r="Q59" s="232"/>
      <c r="R59" s="232"/>
      <c r="S59" s="232"/>
      <c r="T59" s="232"/>
      <c r="U59" s="232"/>
      <c r="V59" s="232"/>
    </row>
    <row r="60" spans="7:22" x14ac:dyDescent="0.15">
      <c r="O60" s="5"/>
    </row>
    <row r="61" spans="7:22" x14ac:dyDescent="0.15">
      <c r="P61" s="152"/>
      <c r="Q61" s="290" t="s">
        <v>275</v>
      </c>
      <c r="R61" s="282"/>
      <c r="S61" s="282"/>
      <c r="T61" s="282"/>
      <c r="U61" s="282"/>
      <c r="V61" s="282"/>
    </row>
    <row r="62" spans="7:22" ht="20" customHeight="1" x14ac:dyDescent="0.15">
      <c r="O62" s="335" t="s">
        <v>276</v>
      </c>
      <c r="P62" s="283">
        <f ca="1">+H40</f>
        <v>0.1249189567948723</v>
      </c>
      <c r="Q62" s="284">
        <v>20</v>
      </c>
      <c r="R62" s="285">
        <f>+Q62+1</f>
        <v>21</v>
      </c>
      <c r="S62" s="285">
        <f t="shared" ref="S62:V62" si="3">+R62+1</f>
        <v>22</v>
      </c>
      <c r="T62" s="285">
        <f t="shared" si="3"/>
        <v>23</v>
      </c>
      <c r="U62" s="285">
        <f t="shared" si="3"/>
        <v>24</v>
      </c>
      <c r="V62" s="285">
        <f t="shared" si="3"/>
        <v>25</v>
      </c>
    </row>
    <row r="63" spans="7:22" ht="20" customHeight="1" x14ac:dyDescent="0.15">
      <c r="O63" s="335"/>
      <c r="P63" s="284">
        <v>20</v>
      </c>
      <c r="Q63" s="291">
        <f t="dataTable" ref="Q63:V68" dt2D="1" dtr="1" r1="H44" r2="H21" ca="1"/>
        <v>0.10874451781644723</v>
      </c>
      <c r="R63" s="292">
        <v>0.12559710058570528</v>
      </c>
      <c r="S63" s="292">
        <v>0.14172501659374293</v>
      </c>
      <c r="T63" s="292">
        <v>0.15719705307839549</v>
      </c>
      <c r="U63" s="292">
        <v>0.17207226192753278</v>
      </c>
      <c r="V63" s="292">
        <v>0.18640174701920365</v>
      </c>
    </row>
    <row r="64" spans="7:22" ht="20" customHeight="1" x14ac:dyDescent="0.15">
      <c r="O64" s="335"/>
      <c r="P64" s="285">
        <f>+P63+1</f>
        <v>21</v>
      </c>
      <c r="Q64" s="293">
        <v>9.1237543998876403E-2</v>
      </c>
      <c r="R64" s="294">
        <v>0.10782402603838204</v>
      </c>
      <c r="S64" s="294">
        <v>0.12369728373808297</v>
      </c>
      <c r="T64" s="294">
        <v>0.13892501819166458</v>
      </c>
      <c r="U64" s="294">
        <v>0.15356534886312634</v>
      </c>
      <c r="V64" s="294">
        <v>0.16766857270498892</v>
      </c>
    </row>
    <row r="65" spans="15:22" ht="20" customHeight="1" x14ac:dyDescent="0.15">
      <c r="O65" s="335"/>
      <c r="P65" s="285">
        <f t="shared" ref="P65:P68" si="4">+P64+1</f>
        <v>22</v>
      </c>
      <c r="Q65" s="293">
        <v>7.5030913260846654E-2</v>
      </c>
      <c r="R65" s="294">
        <v>9.1371059393807075E-2</v>
      </c>
      <c r="S65" s="294">
        <v>0.10700857371429295</v>
      </c>
      <c r="T65" s="294">
        <v>0.12201015184597819</v>
      </c>
      <c r="U65" s="294">
        <v>0.1364330500854456</v>
      </c>
      <c r="V65" s="294">
        <v>0.15032681839466289</v>
      </c>
    </row>
    <row r="66" spans="15:22" ht="20" customHeight="1" x14ac:dyDescent="0.15">
      <c r="O66" s="335"/>
      <c r="P66" s="285">
        <f t="shared" si="4"/>
        <v>23</v>
      </c>
      <c r="Q66" s="293">
        <v>5.9960493253296443E-2</v>
      </c>
      <c r="R66" s="294">
        <v>7.6071573540641868E-2</v>
      </c>
      <c r="S66" s="294">
        <v>9.1489871924379518E-2</v>
      </c>
      <c r="T66" s="294">
        <v>0.10628114904943153</v>
      </c>
      <c r="U66" s="294">
        <v>0.12050185855970641</v>
      </c>
      <c r="V66" s="294">
        <v>0.13420085579646002</v>
      </c>
    </row>
    <row r="67" spans="15:22" ht="20" customHeight="1" x14ac:dyDescent="0.15">
      <c r="O67" s="335"/>
      <c r="P67" s="285">
        <f t="shared" si="4"/>
        <v>24</v>
      </c>
      <c r="Q67" s="293">
        <v>4.5890491839047254E-2</v>
      </c>
      <c r="R67" s="294">
        <v>6.1787712342116663E-2</v>
      </c>
      <c r="S67" s="294">
        <v>7.7001346984662877E-2</v>
      </c>
      <c r="T67" s="294">
        <v>9.1596283499482123E-2</v>
      </c>
      <c r="U67" s="294">
        <v>0.10562822616024259</v>
      </c>
      <c r="V67" s="294">
        <v>0.11914538179844425</v>
      </c>
    </row>
    <row r="68" spans="15:22" ht="20" customHeight="1" x14ac:dyDescent="0.15">
      <c r="O68" s="335"/>
      <c r="P68" s="285">
        <f t="shared" si="4"/>
        <v>25</v>
      </c>
      <c r="Q68" s="293">
        <v>3.2707379870688946E-2</v>
      </c>
      <c r="R68" s="294">
        <v>4.8404221041970841E-2</v>
      </c>
      <c r="S68" s="294">
        <v>6.3426092731795558E-2</v>
      </c>
      <c r="T68" s="294">
        <v>7.7837064784037402E-2</v>
      </c>
      <c r="U68" s="294">
        <v>9.1692139337979928E-2</v>
      </c>
      <c r="V68" s="294">
        <v>0.10503891559357648</v>
      </c>
    </row>
    <row r="69" spans="15:22" x14ac:dyDescent="0.15">
      <c r="P69" s="107"/>
      <c r="Q69" s="1"/>
      <c r="R69" s="1"/>
      <c r="S69" s="1"/>
      <c r="T69" s="1"/>
      <c r="U69" s="1"/>
      <c r="V69" s="1"/>
    </row>
    <row r="70" spans="15:22" ht="15" thickBot="1" x14ac:dyDescent="0.2">
      <c r="O70" s="130" t="s">
        <v>277</v>
      </c>
      <c r="P70" s="232"/>
      <c r="Q70" s="232"/>
      <c r="R70" s="232"/>
      <c r="S70" s="232"/>
      <c r="T70" s="232"/>
      <c r="U70" s="232"/>
      <c r="V70" s="232"/>
    </row>
    <row r="72" spans="15:22" ht="20" customHeight="1" x14ac:dyDescent="0.15">
      <c r="P72" s="152"/>
      <c r="Q72" s="290" t="s">
        <v>173</v>
      </c>
      <c r="R72" s="282"/>
      <c r="S72" s="282"/>
      <c r="T72" s="282"/>
      <c r="U72" s="282"/>
      <c r="V72" s="282"/>
    </row>
    <row r="73" spans="15:22" ht="20" customHeight="1" x14ac:dyDescent="0.15">
      <c r="O73" s="335" t="s">
        <v>275</v>
      </c>
      <c r="P73" s="301">
        <f ca="1">+E31</f>
        <v>86.986807531859853</v>
      </c>
      <c r="Q73" s="299">
        <v>0.15</v>
      </c>
      <c r="R73" s="300">
        <f>+Q73+1%</f>
        <v>0.16</v>
      </c>
      <c r="S73" s="300">
        <f t="shared" ref="S73:V73" si="5">+R73+1%</f>
        <v>0.17</v>
      </c>
      <c r="T73" s="300">
        <f t="shared" si="5"/>
        <v>0.18000000000000002</v>
      </c>
      <c r="U73" s="300">
        <f t="shared" si="5"/>
        <v>0.19000000000000003</v>
      </c>
      <c r="V73" s="300">
        <f t="shared" si="5"/>
        <v>0.20000000000000004</v>
      </c>
    </row>
    <row r="74" spans="15:22" ht="20" customHeight="1" x14ac:dyDescent="0.15">
      <c r="O74" s="335"/>
      <c r="P74" s="284">
        <v>10</v>
      </c>
      <c r="Q74" s="295">
        <f t="dataTable" ref="Q74:V79" dt2D="1" dtr="1" r1="E25" r2="H44" ca="1"/>
        <v>80.996140452534988</v>
      </c>
      <c r="R74" s="296">
        <v>79.311378080411686</v>
      </c>
      <c r="S74" s="296">
        <v>77.697694971716857</v>
      </c>
      <c r="T74" s="296">
        <v>76.151522741721891</v>
      </c>
      <c r="U74" s="296">
        <v>74.669500268351854</v>
      </c>
      <c r="V74" s="296">
        <v>73.248460047412522</v>
      </c>
    </row>
    <row r="75" spans="15:22" ht="20" customHeight="1" x14ac:dyDescent="0.15">
      <c r="O75" s="335"/>
      <c r="P75" s="285">
        <f>+P74+1</f>
        <v>11</v>
      </c>
      <c r="Q75" s="297">
        <v>89.14014718314273</v>
      </c>
      <c r="R75" s="298">
        <v>87.178167561821724</v>
      </c>
      <c r="S75" s="298">
        <v>85.298962857992137</v>
      </c>
      <c r="T75" s="298">
        <v>83.498377531244046</v>
      </c>
      <c r="U75" s="298">
        <v>81.772497407611411</v>
      </c>
      <c r="V75" s="298">
        <v>80.117633789636201</v>
      </c>
    </row>
    <row r="76" spans="15:22" ht="20" customHeight="1" x14ac:dyDescent="0.15">
      <c r="O76" s="335"/>
      <c r="P76" s="285">
        <f t="shared" ref="P76:P79" si="6">+P75+1</f>
        <v>12</v>
      </c>
      <c r="Q76" s="297">
        <v>97.284153913750458</v>
      </c>
      <c r="R76" s="298">
        <v>95.044957043231747</v>
      </c>
      <c r="S76" s="298">
        <v>92.900230744267418</v>
      </c>
      <c r="T76" s="298">
        <v>90.845232320766172</v>
      </c>
      <c r="U76" s="298">
        <v>88.875494546870954</v>
      </c>
      <c r="V76" s="298">
        <v>86.986807531859853</v>
      </c>
    </row>
    <row r="77" spans="15:22" ht="20" customHeight="1" x14ac:dyDescent="0.15">
      <c r="O77" s="335"/>
      <c r="P77" s="285">
        <f t="shared" si="6"/>
        <v>13</v>
      </c>
      <c r="Q77" s="297">
        <v>105.4281606443582</v>
      </c>
      <c r="R77" s="298">
        <v>102.91174652464179</v>
      </c>
      <c r="S77" s="298">
        <v>100.50149863054273</v>
      </c>
      <c r="T77" s="298">
        <v>98.192087110288313</v>
      </c>
      <c r="U77" s="298">
        <v>95.978491686130496</v>
      </c>
      <c r="V77" s="298">
        <v>93.855981274083533</v>
      </c>
    </row>
    <row r="78" spans="15:22" ht="20" customHeight="1" x14ac:dyDescent="0.15">
      <c r="O78" s="335"/>
      <c r="P78" s="285">
        <f t="shared" si="6"/>
        <v>14</v>
      </c>
      <c r="Q78" s="297">
        <v>113.57216737496594</v>
      </c>
      <c r="R78" s="298">
        <v>110.77853600605184</v>
      </c>
      <c r="S78" s="298">
        <v>108.10276651681802</v>
      </c>
      <c r="T78" s="298">
        <v>105.53894189981045</v>
      </c>
      <c r="U78" s="298">
        <v>103.08148882539005</v>
      </c>
      <c r="V78" s="298">
        <v>100.72515501630721</v>
      </c>
    </row>
    <row r="79" spans="15:22" ht="20" customHeight="1" x14ac:dyDescent="0.15">
      <c r="O79" s="335"/>
      <c r="P79" s="285">
        <f t="shared" si="6"/>
        <v>15</v>
      </c>
      <c r="Q79" s="297">
        <v>121.71617410557371</v>
      </c>
      <c r="R79" s="298">
        <v>118.64532548746189</v>
      </c>
      <c r="S79" s="298">
        <v>115.70403440309332</v>
      </c>
      <c r="T79" s="298">
        <v>112.88579668933261</v>
      </c>
      <c r="U79" s="298">
        <v>110.1844859646496</v>
      </c>
      <c r="V79" s="298">
        <v>107.59432875853088</v>
      </c>
    </row>
    <row r="81" spans="15:22" ht="15" thickBot="1" x14ac:dyDescent="0.2">
      <c r="O81" s="130" t="s">
        <v>277</v>
      </c>
      <c r="P81" s="232"/>
      <c r="Q81" s="232"/>
      <c r="R81" s="232"/>
      <c r="S81" s="232"/>
      <c r="T81" s="232"/>
      <c r="U81" s="232"/>
      <c r="V81" s="232"/>
    </row>
    <row r="83" spans="15:22" x14ac:dyDescent="0.15">
      <c r="P83" s="152"/>
      <c r="Q83" s="290" t="s">
        <v>173</v>
      </c>
      <c r="R83" s="282"/>
      <c r="S83" s="282"/>
      <c r="T83" s="282"/>
      <c r="U83" s="282"/>
      <c r="V83" s="282"/>
    </row>
    <row r="84" spans="15:22" ht="20" customHeight="1" x14ac:dyDescent="0.15">
      <c r="O84" s="335" t="s">
        <v>276</v>
      </c>
      <c r="P84" s="301">
        <f ca="1">+E31</f>
        <v>86.986807531859853</v>
      </c>
      <c r="Q84" s="299">
        <v>0.15</v>
      </c>
      <c r="R84" s="300">
        <f>+Q84+1%</f>
        <v>0.16</v>
      </c>
      <c r="S84" s="300">
        <f t="shared" ref="S84:V84" si="7">+R84+1%</f>
        <v>0.17</v>
      </c>
      <c r="T84" s="300">
        <f t="shared" si="7"/>
        <v>0.18000000000000002</v>
      </c>
      <c r="U84" s="300">
        <f t="shared" si="7"/>
        <v>0.19000000000000003</v>
      </c>
      <c r="V84" s="300">
        <f t="shared" si="7"/>
        <v>0.20000000000000004</v>
      </c>
    </row>
    <row r="85" spans="15:22" ht="20" customHeight="1" x14ac:dyDescent="0.15">
      <c r="O85" s="335"/>
      <c r="P85" s="284">
        <v>10</v>
      </c>
      <c r="Q85" s="295">
        <f t="dataTable" ref="Q85:V90" dt2D="1" dtr="1" r1="E25" r2="H21" ca="1"/>
        <v>97.481403913750455</v>
      </c>
      <c r="R85" s="296">
        <v>95.242207043231744</v>
      </c>
      <c r="S85" s="296">
        <v>93.097480744267415</v>
      </c>
      <c r="T85" s="296">
        <v>91.042482320766169</v>
      </c>
      <c r="U85" s="296">
        <v>89.07274454687095</v>
      </c>
      <c r="V85" s="296">
        <v>87.18405753185985</v>
      </c>
    </row>
    <row r="86" spans="15:22" ht="20" customHeight="1" x14ac:dyDescent="0.15">
      <c r="O86" s="335"/>
      <c r="P86" s="285">
        <f>+P85+1</f>
        <v>11</v>
      </c>
      <c r="Q86" s="297">
        <v>97.382778913750457</v>
      </c>
      <c r="R86" s="298">
        <v>95.143582043231746</v>
      </c>
      <c r="S86" s="298">
        <v>92.998855744267416</v>
      </c>
      <c r="T86" s="298">
        <v>90.94385732076617</v>
      </c>
      <c r="U86" s="298">
        <v>88.974119546870952</v>
      </c>
      <c r="V86" s="298">
        <v>87.085432531859851</v>
      </c>
    </row>
    <row r="87" spans="15:22" ht="20" customHeight="1" x14ac:dyDescent="0.15">
      <c r="O87" s="335"/>
      <c r="P87" s="285">
        <f t="shared" ref="P87:P90" si="8">+P86+1</f>
        <v>12</v>
      </c>
      <c r="Q87" s="297">
        <v>97.284153913750458</v>
      </c>
      <c r="R87" s="298">
        <v>95.044957043231747</v>
      </c>
      <c r="S87" s="298">
        <v>92.900230744267418</v>
      </c>
      <c r="T87" s="298">
        <v>90.845232320766172</v>
      </c>
      <c r="U87" s="298">
        <v>88.875494546870954</v>
      </c>
      <c r="V87" s="298">
        <v>86.986807531859853</v>
      </c>
    </row>
    <row r="88" spans="15:22" ht="20" customHeight="1" x14ac:dyDescent="0.15">
      <c r="O88" s="335"/>
      <c r="P88" s="285">
        <f t="shared" si="8"/>
        <v>13</v>
      </c>
      <c r="Q88" s="297">
        <v>97.18552891375046</v>
      </c>
      <c r="R88" s="298">
        <v>94.946332043231749</v>
      </c>
      <c r="S88" s="298">
        <v>92.80160574426742</v>
      </c>
      <c r="T88" s="298">
        <v>90.746607320766174</v>
      </c>
      <c r="U88" s="298">
        <v>88.776869546870955</v>
      </c>
      <c r="V88" s="298">
        <v>86.888182531859854</v>
      </c>
    </row>
    <row r="89" spans="15:22" ht="20" customHeight="1" x14ac:dyDescent="0.15">
      <c r="O89" s="335"/>
      <c r="P89" s="285">
        <f t="shared" si="8"/>
        <v>14</v>
      </c>
      <c r="Q89" s="297">
        <v>97.086903913750461</v>
      </c>
      <c r="R89" s="298">
        <v>94.84770704323175</v>
      </c>
      <c r="S89" s="298">
        <v>92.702980744267421</v>
      </c>
      <c r="T89" s="298">
        <v>90.647982320766175</v>
      </c>
      <c r="U89" s="298">
        <v>88.678244546870957</v>
      </c>
      <c r="V89" s="298">
        <v>86.789557531859856</v>
      </c>
    </row>
    <row r="90" spans="15:22" ht="20" customHeight="1" x14ac:dyDescent="0.15">
      <c r="O90" s="335"/>
      <c r="P90" s="285">
        <f t="shared" si="8"/>
        <v>15</v>
      </c>
      <c r="Q90" s="297">
        <v>96.988278913750449</v>
      </c>
      <c r="R90" s="298">
        <v>94.749082043231738</v>
      </c>
      <c r="S90" s="298">
        <v>92.604355744267409</v>
      </c>
      <c r="T90" s="298">
        <v>90.549357320766163</v>
      </c>
      <c r="U90" s="298">
        <v>88.579619546870944</v>
      </c>
      <c r="V90" s="298">
        <v>86.690932531859843</v>
      </c>
    </row>
  </sheetData>
  <mergeCells count="3">
    <mergeCell ref="O62:O68"/>
    <mergeCell ref="O73:O79"/>
    <mergeCell ref="O84:O90"/>
  </mergeCells>
  <pageMargins left="0.7" right="0.7" top="0.75" bottom="0.75" header="0.3" footer="0.3"/>
  <pageSetup paperSize="9" scale="51" orientation="portrait" r:id="rId1"/>
  <rowBreaks count="1" manualBreakCount="1">
    <brk id="58" max="16383" man="1"/>
  </rowBreaks>
  <colBreaks count="1" manualBreakCount="1">
    <brk id="13" max="9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C3AC7-DCDE-4E92-91DA-9302832BBD6B}">
  <dimension ref="C3:O104"/>
  <sheetViews>
    <sheetView showGridLines="0" workbookViewId="0">
      <pane ySplit="6" topLeftCell="A10" activePane="bottomLeft" state="frozen"/>
      <selection pane="bottomLeft" activeCell="I77" sqref="I77"/>
    </sheetView>
  </sheetViews>
  <sheetFormatPr baseColWidth="10" defaultColWidth="8.83203125" defaultRowHeight="14" x14ac:dyDescent="0.15"/>
  <cols>
    <col min="1" max="2" width="1.6640625" customWidth="1"/>
    <col min="3" max="3" width="41.6640625" bestFit="1" customWidth="1"/>
    <col min="4" max="4" width="15.5" bestFit="1" customWidth="1"/>
    <col min="6" max="14" width="9.5" customWidth="1"/>
    <col min="15" max="15" width="13.1640625" bestFit="1" customWidth="1"/>
  </cols>
  <sheetData>
    <row r="3" spans="3:15" x14ac:dyDescent="0.15"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</row>
    <row r="4" spans="3:15" x14ac:dyDescent="0.15">
      <c r="C4" s="68" t="s">
        <v>226</v>
      </c>
      <c r="D4" s="68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3:15" ht="17" x14ac:dyDescent="0.3">
      <c r="C5" s="68" t="str">
        <f>+Model!C5</f>
        <v>$ MM, unless otherwise stated</v>
      </c>
      <c r="D5" s="68"/>
      <c r="E5" s="55"/>
      <c r="F5" s="74" t="s">
        <v>77</v>
      </c>
      <c r="G5" s="75"/>
      <c r="H5" s="75"/>
      <c r="I5" s="74" t="s">
        <v>78</v>
      </c>
      <c r="J5" s="76"/>
      <c r="K5" s="76"/>
      <c r="L5" s="76"/>
      <c r="M5" s="76"/>
      <c r="N5" s="76"/>
      <c r="O5" s="74" t="s">
        <v>79</v>
      </c>
    </row>
    <row r="6" spans="3:15" x14ac:dyDescent="0.15">
      <c r="C6" s="73" t="s">
        <v>76</v>
      </c>
      <c r="D6" s="73"/>
      <c r="E6" s="55"/>
      <c r="F6" s="77">
        <f>+G6-1</f>
        <v>2018</v>
      </c>
      <c r="G6" s="77">
        <f>+H6-1</f>
        <v>2019</v>
      </c>
      <c r="H6" s="77">
        <f>+I6-1</f>
        <v>2020</v>
      </c>
      <c r="I6" s="78">
        <f>+YEAR('LBO Control'!H31)</f>
        <v>2021</v>
      </c>
      <c r="J6" s="78">
        <f t="shared" ref="J6:N6" si="0">+I6+1</f>
        <v>2022</v>
      </c>
      <c r="K6" s="78">
        <f t="shared" si="0"/>
        <v>2023</v>
      </c>
      <c r="L6" s="78">
        <f t="shared" si="0"/>
        <v>2024</v>
      </c>
      <c r="M6" s="78">
        <f t="shared" si="0"/>
        <v>2025</v>
      </c>
      <c r="N6" s="78">
        <f t="shared" si="0"/>
        <v>2026</v>
      </c>
      <c r="O6" s="238" t="str">
        <f>+I6&amp;"E"&amp;" - "&amp;N6&amp;"E"</f>
        <v>2021E - 2026E</v>
      </c>
    </row>
    <row r="7" spans="3:15" x14ac:dyDescent="0.15">
      <c r="C7" s="277" t="s">
        <v>232</v>
      </c>
      <c r="D7" s="278"/>
      <c r="E7" s="241">
        <v>1</v>
      </c>
      <c r="O7" s="36"/>
    </row>
    <row r="8" spans="3:15" x14ac:dyDescent="0.15">
      <c r="C8" s="47" t="s">
        <v>39</v>
      </c>
      <c r="D8" s="47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</row>
    <row r="9" spans="3:15" x14ac:dyDescent="0.15">
      <c r="O9" s="36"/>
    </row>
    <row r="10" spans="3:15" x14ac:dyDescent="0.15">
      <c r="C10" s="5" t="s">
        <v>17</v>
      </c>
      <c r="D10" s="5"/>
      <c r="F10" s="83">
        <f>+Model!I19</f>
        <v>26</v>
      </c>
      <c r="G10" s="83">
        <f>+Model!J19</f>
        <v>26</v>
      </c>
      <c r="H10" s="83">
        <f>+Model!K19</f>
        <v>36</v>
      </c>
      <c r="I10" s="83">
        <f>+Model!M19</f>
        <v>39.450000000000003</v>
      </c>
      <c r="J10" s="83">
        <f>+Model!N19</f>
        <v>43.237500000000004</v>
      </c>
      <c r="K10" s="83">
        <f>+Model!O19</f>
        <v>47.395875000000011</v>
      </c>
      <c r="L10" s="83">
        <f>+Model!P19</f>
        <v>51.96181875000002</v>
      </c>
      <c r="M10" s="83">
        <f>+Model!Q19</f>
        <v>56.975674687500018</v>
      </c>
      <c r="N10" s="83">
        <f>+Model!R19</f>
        <v>62.481799921875023</v>
      </c>
      <c r="O10" s="246">
        <f>+((N10/I10)^(1/(N$6-I$6))-1)</f>
        <v>9.6330016513214378E-2</v>
      </c>
    </row>
    <row r="11" spans="3:15" s="30" customFormat="1" x14ac:dyDescent="0.15">
      <c r="C11" s="26" t="s">
        <v>227</v>
      </c>
      <c r="D11" s="26"/>
      <c r="F11" s="32"/>
      <c r="G11" s="32">
        <f>+G10/F10-1</f>
        <v>0</v>
      </c>
      <c r="H11" s="32">
        <f t="shared" ref="H11" si="1">+H10/G10-1</f>
        <v>0.38461538461538458</v>
      </c>
      <c r="I11" s="32">
        <f>+'Operational Assumptions'!M22</f>
        <v>0.1</v>
      </c>
      <c r="J11" s="32">
        <f>+'Operational Assumptions'!N22</f>
        <v>0.1</v>
      </c>
      <c r="K11" s="32">
        <f>+'Operational Assumptions'!O22</f>
        <v>0.1</v>
      </c>
      <c r="L11" s="32">
        <f>+'Operational Assumptions'!P22</f>
        <v>0.1</v>
      </c>
      <c r="M11" s="32">
        <f>+'Operational Assumptions'!Q22</f>
        <v>0.1</v>
      </c>
      <c r="N11" s="32">
        <f>+'Operational Assumptions'!R22</f>
        <v>0.1</v>
      </c>
      <c r="O11" s="84"/>
    </row>
    <row r="12" spans="3:15" x14ac:dyDescent="0.15">
      <c r="C12" s="81" t="s">
        <v>131</v>
      </c>
      <c r="D12" s="81"/>
      <c r="E12" s="64"/>
      <c r="F12" s="244">
        <f>+Model!I31</f>
        <v>2</v>
      </c>
      <c r="G12" s="244">
        <f>+Model!J31</f>
        <v>3.5</v>
      </c>
      <c r="H12" s="244">
        <f>+Model!K31</f>
        <v>5</v>
      </c>
      <c r="I12" s="244">
        <f>+Model!M31</f>
        <v>9.8625000000000007</v>
      </c>
      <c r="J12" s="244">
        <f>+Model!N31</f>
        <v>10.809375000000001</v>
      </c>
      <c r="K12" s="244">
        <f>+Model!O31</f>
        <v>11.848968750000003</v>
      </c>
      <c r="L12" s="244">
        <f>+Model!P31</f>
        <v>12.990454687500005</v>
      </c>
      <c r="M12" s="244">
        <f>+Model!Q31</f>
        <v>14.243918671875004</v>
      </c>
      <c r="N12" s="244">
        <f>+Model!R31</f>
        <v>15.620449980468756</v>
      </c>
      <c r="O12" s="247">
        <f>+((N12/I12)^(1/(N$6-I$6))-1)</f>
        <v>9.6330016513214378E-2</v>
      </c>
    </row>
    <row r="13" spans="3:15" s="30" customFormat="1" x14ac:dyDescent="0.15">
      <c r="C13" s="26" t="s">
        <v>87</v>
      </c>
      <c r="D13" s="26"/>
      <c r="F13" s="32">
        <f>+F12/F10</f>
        <v>7.6923076923076927E-2</v>
      </c>
      <c r="G13" s="32">
        <f t="shared" ref="G13:H13" si="2">+G12/G10</f>
        <v>0.13461538461538461</v>
      </c>
      <c r="H13" s="32">
        <f t="shared" si="2"/>
        <v>0.1388888888888889</v>
      </c>
      <c r="I13" s="32">
        <f t="shared" ref="I13" si="3">+I12/I10</f>
        <v>0.25</v>
      </c>
      <c r="J13" s="32">
        <f t="shared" ref="J13" si="4">+J12/J10</f>
        <v>0.25</v>
      </c>
      <c r="K13" s="32">
        <f t="shared" ref="K13" si="5">+K12/K10</f>
        <v>0.25</v>
      </c>
      <c r="L13" s="32">
        <f t="shared" ref="L13" si="6">+L12/L10</f>
        <v>0.25</v>
      </c>
      <c r="M13" s="32">
        <f t="shared" ref="M13" si="7">+M12/M10</f>
        <v>0.25</v>
      </c>
      <c r="N13" s="32">
        <f t="shared" ref="N13" si="8">+N12/N10</f>
        <v>0.25</v>
      </c>
      <c r="O13" s="84"/>
    </row>
    <row r="14" spans="3:15" x14ac:dyDescent="0.15">
      <c r="C14" s="33" t="s">
        <v>48</v>
      </c>
      <c r="D14" s="33"/>
      <c r="I14" s="79">
        <f>+Model!M34</f>
        <v>-0.98625000000000007</v>
      </c>
      <c r="J14" s="79">
        <f>+Model!N34</f>
        <v>-1.0809375000000001</v>
      </c>
      <c r="K14" s="79">
        <f>+Model!O34</f>
        <v>-1.1848968750000004</v>
      </c>
      <c r="L14" s="79">
        <f>+Model!P34</f>
        <v>-1.2990454687500006</v>
      </c>
      <c r="M14" s="79">
        <f>+Model!Q34</f>
        <v>-1.4243918671875004</v>
      </c>
      <c r="N14" s="79">
        <f>+Model!R34</f>
        <v>-1.5620449980468756</v>
      </c>
      <c r="O14" s="245"/>
    </row>
    <row r="15" spans="3:15" s="30" customFormat="1" x14ac:dyDescent="0.15">
      <c r="C15" s="239" t="s">
        <v>87</v>
      </c>
      <c r="D15" s="239"/>
      <c r="F15" s="32"/>
      <c r="G15" s="32"/>
      <c r="H15" s="32"/>
      <c r="I15" s="32">
        <f>+I14/I10</f>
        <v>-2.5000000000000001E-2</v>
      </c>
      <c r="J15" s="32">
        <f t="shared" ref="J15:N15" si="9">+J14/J10</f>
        <v>-2.5000000000000001E-2</v>
      </c>
      <c r="K15" s="32">
        <f t="shared" si="9"/>
        <v>-2.5000000000000001E-2</v>
      </c>
      <c r="L15" s="32">
        <f t="shared" si="9"/>
        <v>-2.5000000000000001E-2</v>
      </c>
      <c r="M15" s="32">
        <f t="shared" si="9"/>
        <v>-2.5000000000000001E-2</v>
      </c>
      <c r="N15" s="32">
        <f t="shared" si="9"/>
        <v>-2.5000000000000001E-2</v>
      </c>
      <c r="O15" s="84"/>
    </row>
    <row r="16" spans="3:15" x14ac:dyDescent="0.15">
      <c r="C16" s="81" t="s">
        <v>50</v>
      </c>
      <c r="D16" s="81"/>
      <c r="E16" s="64"/>
      <c r="F16" s="64"/>
      <c r="G16" s="64"/>
      <c r="H16" s="64"/>
      <c r="I16" s="243">
        <f>+I12+I14</f>
        <v>8.8762500000000006</v>
      </c>
      <c r="J16" s="243">
        <f t="shared" ref="J16:N16" si="10">+J12+J14</f>
        <v>9.7284375000000018</v>
      </c>
      <c r="K16" s="243">
        <f t="shared" si="10"/>
        <v>10.664071875000003</v>
      </c>
      <c r="L16" s="243">
        <f t="shared" si="10"/>
        <v>11.691409218750005</v>
      </c>
      <c r="M16" s="243">
        <f t="shared" si="10"/>
        <v>12.819526804687504</v>
      </c>
      <c r="N16" s="243">
        <f t="shared" si="10"/>
        <v>14.05840498242188</v>
      </c>
      <c r="O16" s="247">
        <f>+((N16/I16)^(1/(N$6-I$6))-1)</f>
        <v>9.6330016513214378E-2</v>
      </c>
    </row>
    <row r="17" spans="3:15" s="30" customFormat="1" x14ac:dyDescent="0.15">
      <c r="C17" s="26" t="s">
        <v>87</v>
      </c>
      <c r="D17" s="26"/>
      <c r="F17" s="32"/>
      <c r="G17" s="32"/>
      <c r="H17" s="32"/>
      <c r="I17" s="32">
        <f>+I16/I10</f>
        <v>0.22500000000000001</v>
      </c>
      <c r="J17" s="32">
        <f t="shared" ref="J17:N17" si="11">+J16/J10</f>
        <v>0.22500000000000003</v>
      </c>
      <c r="K17" s="32">
        <f t="shared" si="11"/>
        <v>0.22500000000000001</v>
      </c>
      <c r="L17" s="32">
        <f t="shared" si="11"/>
        <v>0.22500000000000001</v>
      </c>
      <c r="M17" s="32">
        <f t="shared" si="11"/>
        <v>0.22500000000000001</v>
      </c>
      <c r="N17" s="32">
        <f t="shared" si="11"/>
        <v>0.22500000000000001</v>
      </c>
      <c r="O17" s="84"/>
    </row>
    <row r="18" spans="3:15" x14ac:dyDescent="0.15">
      <c r="C18" s="33" t="s">
        <v>228</v>
      </c>
      <c r="D18" s="33"/>
      <c r="I18" s="276">
        <f t="shared" ref="I18:N18" ca="1" si="12">+IF(circ=1,I88*-1,0)</f>
        <v>-2.1844917107404398</v>
      </c>
      <c r="J18" s="276">
        <f t="shared" ca="1" si="12"/>
        <v>-2.0545453412994052</v>
      </c>
      <c r="K18" s="276">
        <f t="shared" ca="1" si="12"/>
        <v>-2.1531641707297156</v>
      </c>
      <c r="L18" s="276">
        <f t="shared" ca="1" si="12"/>
        <v>-2.2379189390878049</v>
      </c>
      <c r="M18" s="276">
        <f t="shared" ca="1" si="12"/>
        <v>-2.3070131248811179</v>
      </c>
      <c r="N18" s="276">
        <f t="shared" ca="1" si="12"/>
        <v>-2.3584644630560723</v>
      </c>
      <c r="O18" s="245"/>
    </row>
    <row r="19" spans="3:15" x14ac:dyDescent="0.15">
      <c r="C19" s="33" t="s">
        <v>229</v>
      </c>
      <c r="D19" s="33"/>
      <c r="I19" s="79">
        <f>+'LBO Control'!$K$41*-1</f>
        <v>-0.14089285714285715</v>
      </c>
      <c r="J19" s="79">
        <f>+'LBO Control'!$K$41*-1</f>
        <v>-0.14089285714285715</v>
      </c>
      <c r="K19" s="79">
        <f>+'LBO Control'!$K$41*-1</f>
        <v>-0.14089285714285715</v>
      </c>
      <c r="L19" s="79">
        <f>+'LBO Control'!$K$41*-1</f>
        <v>-0.14089285714285715</v>
      </c>
      <c r="M19" s="79">
        <f>+'LBO Control'!$K$41*-1</f>
        <v>-0.14089285714285715</v>
      </c>
      <c r="N19" s="79">
        <f>+'LBO Control'!$K$41*-1</f>
        <v>-0.14089285714285715</v>
      </c>
      <c r="O19" s="245"/>
    </row>
    <row r="20" spans="3:15" x14ac:dyDescent="0.15">
      <c r="C20" s="81" t="s">
        <v>230</v>
      </c>
      <c r="D20" s="81"/>
      <c r="E20" s="64"/>
      <c r="F20" s="64"/>
      <c r="G20" s="64"/>
      <c r="H20" s="64"/>
      <c r="I20" s="243">
        <f ca="1">+I16+I18+I19</f>
        <v>6.5508654321167032</v>
      </c>
      <c r="J20" s="243">
        <f t="shared" ref="J20:N20" ca="1" si="13">+J16+J18+J19</f>
        <v>7.532999301557739</v>
      </c>
      <c r="K20" s="243">
        <f t="shared" ca="1" si="13"/>
        <v>8.3700148471274307</v>
      </c>
      <c r="L20" s="243">
        <f t="shared" ca="1" si="13"/>
        <v>9.3125974225193424</v>
      </c>
      <c r="M20" s="243">
        <f t="shared" ca="1" si="13"/>
        <v>10.371620822663528</v>
      </c>
      <c r="N20" s="243">
        <f t="shared" ca="1" si="13"/>
        <v>11.55904766222295</v>
      </c>
      <c r="O20" s="247">
        <f ca="1">+((N20/I20)^(1/(N$6-I$6))-1)</f>
        <v>0.12027507961088424</v>
      </c>
    </row>
    <row r="21" spans="3:15" s="30" customFormat="1" x14ac:dyDescent="0.15">
      <c r="C21" s="26" t="s">
        <v>87</v>
      </c>
      <c r="D21" s="26"/>
      <c r="F21" s="32"/>
      <c r="G21" s="32"/>
      <c r="H21" s="32"/>
      <c r="I21" s="32">
        <f ca="1">+I20/I10</f>
        <v>0.16605489054795192</v>
      </c>
      <c r="J21" s="32">
        <f t="shared" ref="J21:N21" ca="1" si="14">+J20/J10</f>
        <v>0.174223747940046</v>
      </c>
      <c r="K21" s="32">
        <f t="shared" ca="1" si="14"/>
        <v>0.17659796020492138</v>
      </c>
      <c r="L21" s="32">
        <f t="shared" ca="1" si="14"/>
        <v>0.17922000512192116</v>
      </c>
      <c r="M21" s="32">
        <f t="shared" ca="1" si="14"/>
        <v>0.18203594568295609</v>
      </c>
      <c r="N21" s="32">
        <f t="shared" ca="1" si="14"/>
        <v>0.1849986344291612</v>
      </c>
      <c r="O21" s="84"/>
    </row>
    <row r="22" spans="3:15" x14ac:dyDescent="0.15">
      <c r="C22" s="33" t="s">
        <v>233</v>
      </c>
      <c r="D22" s="33"/>
      <c r="I22" s="276">
        <f ca="1">+I20*I23*-1</f>
        <v>-1.3101730864233407</v>
      </c>
      <c r="J22" s="276">
        <f t="shared" ref="J22:N22" ca="1" si="15">+J20*J23*-1</f>
        <v>-1.5065998603115478</v>
      </c>
      <c r="K22" s="276">
        <f t="shared" ca="1" si="15"/>
        <v>-1.6740029694254863</v>
      </c>
      <c r="L22" s="276">
        <f t="shared" ca="1" si="15"/>
        <v>-1.8625194845038686</v>
      </c>
      <c r="M22" s="276">
        <f t="shared" ca="1" si="15"/>
        <v>-2.074324164532706</v>
      </c>
      <c r="N22" s="276">
        <f t="shared" ca="1" si="15"/>
        <v>-2.31180953244459</v>
      </c>
      <c r="O22" s="245"/>
    </row>
    <row r="23" spans="3:15" s="30" customFormat="1" x14ac:dyDescent="0.15">
      <c r="C23" s="239" t="s">
        <v>231</v>
      </c>
      <c r="D23" s="239"/>
      <c r="F23" s="32"/>
      <c r="G23" s="32"/>
      <c r="H23" s="32"/>
      <c r="I23" s="31">
        <f>+'Operational Assumptions'!M71</f>
        <v>0.2</v>
      </c>
      <c r="J23" s="31">
        <f>+'Operational Assumptions'!N71</f>
        <v>0.2</v>
      </c>
      <c r="K23" s="31">
        <f>+'Operational Assumptions'!O71</f>
        <v>0.2</v>
      </c>
      <c r="L23" s="31">
        <f>+'Operational Assumptions'!P71</f>
        <v>0.2</v>
      </c>
      <c r="M23" s="31">
        <f>+'Operational Assumptions'!Q71</f>
        <v>0.2</v>
      </c>
      <c r="N23" s="31">
        <f>+'Operational Assumptions'!R71</f>
        <v>0.2</v>
      </c>
      <c r="O23" s="84"/>
    </row>
    <row r="24" spans="3:15" x14ac:dyDescent="0.15">
      <c r="C24" s="81" t="s">
        <v>53</v>
      </c>
      <c r="D24" s="81"/>
      <c r="E24" s="64"/>
      <c r="F24" s="64"/>
      <c r="G24" s="64"/>
      <c r="H24" s="64"/>
      <c r="I24" s="82">
        <f ca="1">+I20+I22</f>
        <v>5.240692345693363</v>
      </c>
      <c r="J24" s="82">
        <f t="shared" ref="J24:N24" ca="1" si="16">+J20+J22</f>
        <v>6.0263994412461912</v>
      </c>
      <c r="K24" s="82">
        <f t="shared" ca="1" si="16"/>
        <v>6.6960118777019444</v>
      </c>
      <c r="L24" s="82">
        <f t="shared" ca="1" si="16"/>
        <v>7.4500779380154736</v>
      </c>
      <c r="M24" s="82">
        <f t="shared" ca="1" si="16"/>
        <v>8.2972966581308221</v>
      </c>
      <c r="N24" s="82">
        <f t="shared" ca="1" si="16"/>
        <v>9.2472381297783599</v>
      </c>
      <c r="O24" s="247">
        <f ca="1">+((N24/I24)^(1/(N$6-I$6))-1)</f>
        <v>0.12027507961088402</v>
      </c>
    </row>
    <row r="25" spans="3:15" s="30" customFormat="1" x14ac:dyDescent="0.15">
      <c r="C25" s="26" t="s">
        <v>87</v>
      </c>
      <c r="D25" s="26"/>
      <c r="F25" s="32"/>
      <c r="G25" s="32"/>
      <c r="H25" s="32"/>
      <c r="I25" s="32">
        <f ca="1">+I24/I10</f>
        <v>0.13284391243836152</v>
      </c>
      <c r="J25" s="32">
        <f t="shared" ref="J25:N25" ca="1" si="17">+J24/J10</f>
        <v>0.13937899835203679</v>
      </c>
      <c r="K25" s="32">
        <f t="shared" ca="1" si="17"/>
        <v>0.1412783681639371</v>
      </c>
      <c r="L25" s="32">
        <f t="shared" ca="1" si="17"/>
        <v>0.14337600409753692</v>
      </c>
      <c r="M25" s="32">
        <f t="shared" ca="1" si="17"/>
        <v>0.14562875654636484</v>
      </c>
      <c r="N25" s="32">
        <f t="shared" ca="1" si="17"/>
        <v>0.14799890754332895</v>
      </c>
      <c r="O25" s="84"/>
    </row>
    <row r="26" spans="3:15" x14ac:dyDescent="0.15">
      <c r="O26" s="245"/>
    </row>
    <row r="27" spans="3:15" x14ac:dyDescent="0.15">
      <c r="C27" s="47" t="s">
        <v>234</v>
      </c>
      <c r="D27" s="47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248"/>
    </row>
    <row r="28" spans="3:15" x14ac:dyDescent="0.15">
      <c r="O28" s="36"/>
    </row>
    <row r="29" spans="3:15" x14ac:dyDescent="0.15">
      <c r="C29" t="s">
        <v>53</v>
      </c>
      <c r="I29" s="28">
        <f ca="1">+I24</f>
        <v>5.240692345693363</v>
      </c>
      <c r="J29" s="28">
        <f t="shared" ref="J29:N29" ca="1" si="18">+J24</f>
        <v>6.0263994412461912</v>
      </c>
      <c r="K29" s="28">
        <f t="shared" ca="1" si="18"/>
        <v>6.6960118777019444</v>
      </c>
      <c r="L29" s="28">
        <f t="shared" ca="1" si="18"/>
        <v>7.4500779380154736</v>
      </c>
      <c r="M29" s="28">
        <f t="shared" ca="1" si="18"/>
        <v>8.2972966581308221</v>
      </c>
      <c r="N29" s="28">
        <f t="shared" ca="1" si="18"/>
        <v>9.2472381297783599</v>
      </c>
      <c r="O29" s="246">
        <f ca="1">+((N29/I29)^(1/(N$6-I$6))-1)</f>
        <v>0.12027507961088402</v>
      </c>
    </row>
    <row r="30" spans="3:15" x14ac:dyDescent="0.15">
      <c r="C30" t="s">
        <v>229</v>
      </c>
      <c r="I30" s="28">
        <f>+I19*-1</f>
        <v>0.14089285714285715</v>
      </c>
      <c r="J30" s="28">
        <f t="shared" ref="J30:N30" si="19">+J19*-1</f>
        <v>0.14089285714285715</v>
      </c>
      <c r="K30" s="28">
        <f t="shared" si="19"/>
        <v>0.14089285714285715</v>
      </c>
      <c r="L30" s="28">
        <f t="shared" si="19"/>
        <v>0.14089285714285715</v>
      </c>
      <c r="M30" s="28">
        <f t="shared" si="19"/>
        <v>0.14089285714285715</v>
      </c>
      <c r="N30" s="28">
        <f t="shared" si="19"/>
        <v>0.14089285714285715</v>
      </c>
      <c r="O30" s="36"/>
    </row>
    <row r="31" spans="3:15" x14ac:dyDescent="0.15">
      <c r="C31" s="33" t="s">
        <v>48</v>
      </c>
      <c r="D31" s="33"/>
      <c r="I31" s="28">
        <f>+I14*-1</f>
        <v>0.98625000000000007</v>
      </c>
      <c r="J31" s="28">
        <f t="shared" ref="J31:N31" si="20">+J14*-1</f>
        <v>1.0809375000000001</v>
      </c>
      <c r="K31" s="28">
        <f t="shared" si="20"/>
        <v>1.1848968750000004</v>
      </c>
      <c r="L31" s="28">
        <f t="shared" si="20"/>
        <v>1.2990454687500006</v>
      </c>
      <c r="M31" s="28">
        <f t="shared" si="20"/>
        <v>1.4243918671875004</v>
      </c>
      <c r="N31" s="28">
        <f t="shared" si="20"/>
        <v>1.5620449980468756</v>
      </c>
      <c r="O31" s="36"/>
    </row>
    <row r="32" spans="3:15" x14ac:dyDescent="0.15">
      <c r="C32" t="s">
        <v>236</v>
      </c>
      <c r="I32" s="28">
        <f>+Model!M51</f>
        <v>0</v>
      </c>
      <c r="J32" s="28">
        <f>+Model!N51</f>
        <v>0</v>
      </c>
      <c r="K32" s="28">
        <f>+Model!O51</f>
        <v>0</v>
      </c>
      <c r="L32" s="28">
        <f>+Model!P51</f>
        <v>0</v>
      </c>
      <c r="M32" s="28">
        <f>+Model!Q51</f>
        <v>0</v>
      </c>
      <c r="N32" s="28">
        <f>+Model!R51</f>
        <v>0</v>
      </c>
      <c r="O32" s="36"/>
    </row>
    <row r="33" spans="3:15" s="30" customFormat="1" x14ac:dyDescent="0.15">
      <c r="C33" s="26" t="s">
        <v>87</v>
      </c>
      <c r="D33" s="26"/>
      <c r="F33" s="32"/>
      <c r="G33" s="32"/>
      <c r="H33" s="32"/>
      <c r="I33" s="32">
        <f>+I32/I10</f>
        <v>0</v>
      </c>
      <c r="J33" s="32">
        <f t="shared" ref="J33:N33" si="21">+J32/J10</f>
        <v>0</v>
      </c>
      <c r="K33" s="32">
        <f t="shared" si="21"/>
        <v>0</v>
      </c>
      <c r="L33" s="32">
        <f t="shared" si="21"/>
        <v>0</v>
      </c>
      <c r="M33" s="32">
        <f t="shared" si="21"/>
        <v>0</v>
      </c>
      <c r="N33" s="32">
        <f t="shared" si="21"/>
        <v>0</v>
      </c>
      <c r="O33" s="84"/>
    </row>
    <row r="34" spans="3:15" x14ac:dyDescent="0.15">
      <c r="C34" t="s">
        <v>237</v>
      </c>
      <c r="I34" s="28">
        <f>+Model!M48</f>
        <v>-1.9725000000000001</v>
      </c>
      <c r="J34" s="28">
        <f>+Model!N48</f>
        <v>-2.1618750000000002</v>
      </c>
      <c r="K34" s="28">
        <f>+Model!O48</f>
        <v>-2.3697937500000008</v>
      </c>
      <c r="L34" s="28">
        <f>+Model!P48</f>
        <v>-2.5980909375000012</v>
      </c>
      <c r="M34" s="28">
        <f>+Model!Q48</f>
        <v>-2.8487837343750009</v>
      </c>
      <c r="N34" s="28">
        <f>+Model!R48</f>
        <v>-3.1240899960937512</v>
      </c>
      <c r="O34" s="36"/>
    </row>
    <row r="35" spans="3:15" s="30" customFormat="1" x14ac:dyDescent="0.15">
      <c r="C35" s="26" t="s">
        <v>87</v>
      </c>
      <c r="D35" s="26"/>
      <c r="F35" s="32"/>
      <c r="G35" s="32"/>
      <c r="H35" s="32"/>
      <c r="I35" s="32">
        <f>+I34/I10</f>
        <v>-0.05</v>
      </c>
      <c r="J35" s="32">
        <f t="shared" ref="J35:N35" si="22">+J34/J10</f>
        <v>-0.05</v>
      </c>
      <c r="K35" s="32">
        <f t="shared" si="22"/>
        <v>-0.05</v>
      </c>
      <c r="L35" s="32">
        <f t="shared" si="22"/>
        <v>-0.05</v>
      </c>
      <c r="M35" s="32">
        <f t="shared" si="22"/>
        <v>-0.05</v>
      </c>
      <c r="N35" s="32">
        <f t="shared" si="22"/>
        <v>-0.05</v>
      </c>
      <c r="O35" s="84"/>
    </row>
    <row r="36" spans="3:15" x14ac:dyDescent="0.15">
      <c r="C36" s="81" t="s">
        <v>238</v>
      </c>
      <c r="D36" s="81"/>
      <c r="E36" s="64"/>
      <c r="F36" s="64"/>
      <c r="G36" s="64"/>
      <c r="H36" s="64"/>
      <c r="I36" s="243">
        <f ca="1">+I29+I30+I31+I32+I34</f>
        <v>4.39533520283622</v>
      </c>
      <c r="J36" s="243">
        <f t="shared" ref="J36:N36" ca="1" si="23">+J29+J30+J31+J32+J34</f>
        <v>5.0863547983890482</v>
      </c>
      <c r="K36" s="243">
        <f t="shared" ca="1" si="23"/>
        <v>5.6520078598448009</v>
      </c>
      <c r="L36" s="243">
        <f t="shared" ca="1" si="23"/>
        <v>6.2919253264083297</v>
      </c>
      <c r="M36" s="243">
        <f t="shared" ca="1" si="23"/>
        <v>7.0137976480861788</v>
      </c>
      <c r="N36" s="243">
        <f t="shared" ca="1" si="23"/>
        <v>7.8260859888743415</v>
      </c>
      <c r="O36" s="247">
        <f ca="1">+((N36/I36)^(1/(N$6-I$6))-1)</f>
        <v>0.12230403102956822</v>
      </c>
    </row>
    <row r="37" spans="3:15" s="30" customFormat="1" x14ac:dyDescent="0.15">
      <c r="C37" s="26" t="s">
        <v>87</v>
      </c>
      <c r="D37" s="26"/>
      <c r="F37" s="32"/>
      <c r="G37" s="32"/>
      <c r="H37" s="32"/>
      <c r="I37" s="32">
        <f ca="1">+I36/I10</f>
        <v>0.1114153410097901</v>
      </c>
      <c r="J37" s="32">
        <f t="shared" ref="J37:N37" ca="1" si="24">+J36/J10</f>
        <v>0.11763757845363511</v>
      </c>
      <c r="K37" s="32">
        <f t="shared" ca="1" si="24"/>
        <v>0.11925105000898917</v>
      </c>
      <c r="L37" s="32">
        <f t="shared" ca="1" si="24"/>
        <v>0.12108747302861347</v>
      </c>
      <c r="M37" s="32">
        <f t="shared" ca="1" si="24"/>
        <v>0.12310161637497813</v>
      </c>
      <c r="N37" s="32">
        <f t="shared" ca="1" si="24"/>
        <v>0.1252538498996475</v>
      </c>
      <c r="O37" s="84"/>
    </row>
    <row r="38" spans="3:15" s="30" customFormat="1" x14ac:dyDescent="0.15">
      <c r="C38" s="26" t="s">
        <v>239</v>
      </c>
      <c r="D38" s="26"/>
      <c r="F38" s="32"/>
      <c r="G38" s="32"/>
      <c r="H38" s="32"/>
      <c r="I38" s="32">
        <f ca="1">+I36/I12</f>
        <v>0.4456613640391604</v>
      </c>
      <c r="J38" s="32">
        <f t="shared" ref="J38:N38" ca="1" si="25">+J36/J12</f>
        <v>0.47055031381454043</v>
      </c>
      <c r="K38" s="32">
        <f t="shared" ca="1" si="25"/>
        <v>0.47700420003595667</v>
      </c>
      <c r="L38" s="32">
        <f t="shared" ca="1" si="25"/>
        <v>0.48434989211445389</v>
      </c>
      <c r="M38" s="32">
        <f t="shared" ca="1" si="25"/>
        <v>0.49240646549991252</v>
      </c>
      <c r="N38" s="32">
        <f t="shared" ca="1" si="25"/>
        <v>0.50101539959858998</v>
      </c>
      <c r="O38" s="84"/>
    </row>
    <row r="39" spans="3:15" x14ac:dyDescent="0.15">
      <c r="C39" s="81" t="s">
        <v>240</v>
      </c>
      <c r="D39" s="81"/>
      <c r="E39" s="64"/>
      <c r="F39" s="64"/>
      <c r="G39" s="64"/>
      <c r="H39" s="64"/>
      <c r="I39" s="243">
        <f ca="1">+I36</f>
        <v>4.39533520283622</v>
      </c>
      <c r="J39" s="243">
        <f ca="1">+I39+J36</f>
        <v>9.4816900012252674</v>
      </c>
      <c r="K39" s="243">
        <f t="shared" ref="K39:N39" ca="1" si="26">+J39+K36</f>
        <v>15.133697861070068</v>
      </c>
      <c r="L39" s="243">
        <f t="shared" ca="1" si="26"/>
        <v>21.425623187478397</v>
      </c>
      <c r="M39" s="243">
        <f t="shared" ca="1" si="26"/>
        <v>28.439420835564576</v>
      </c>
      <c r="N39" s="243">
        <f t="shared" ca="1" si="26"/>
        <v>36.265506824438916</v>
      </c>
      <c r="O39" s="247"/>
    </row>
    <row r="40" spans="3:15" s="30" customFormat="1" x14ac:dyDescent="0.15">
      <c r="C40" s="26" t="s">
        <v>241</v>
      </c>
      <c r="D40" s="26"/>
      <c r="F40" s="32"/>
      <c r="G40" s="32"/>
      <c r="H40" s="32"/>
      <c r="I40" s="32">
        <f ca="1">+I39/'LBO Control'!$K$13</f>
        <v>8.9132272807832091E-2</v>
      </c>
      <c r="J40" s="32">
        <f ca="1">+J39/'LBO Control'!$K$13</f>
        <v>0.19227761726185585</v>
      </c>
      <c r="K40" s="32">
        <f ca="1">+K39/'LBO Control'!$K$13</f>
        <v>0.30689374623209265</v>
      </c>
      <c r="L40" s="32">
        <f ca="1">+L39/'LBO Control'!$K$13</f>
        <v>0.43448665525938446</v>
      </c>
      <c r="M40" s="32">
        <f ca="1">+M39/'LBO Control'!$K$13</f>
        <v>0.57671829324338808</v>
      </c>
      <c r="N40" s="32">
        <f ca="1">+N39/'LBO Control'!$K$13</f>
        <v>0.73542219162360289</v>
      </c>
      <c r="O40" s="84"/>
    </row>
    <row r="41" spans="3:15" s="30" customFormat="1" x14ac:dyDescent="0.15">
      <c r="C41" s="26" t="s">
        <v>242</v>
      </c>
      <c r="D41" s="26"/>
      <c r="F41" s="32"/>
      <c r="G41" s="32"/>
      <c r="H41" s="32"/>
      <c r="I41" s="32">
        <f ca="1">+IFERROR(I39/I90,"n.a.")</f>
        <v>0.11011140759046394</v>
      </c>
      <c r="J41" s="32">
        <f t="shared" ref="J41:N41" ca="1" si="27">+IFERROR(J39/J90,"n.a.")</f>
        <v>0.21149941304840156</v>
      </c>
      <c r="K41" s="32">
        <f t="shared" ca="1" si="27"/>
        <v>0.30772806987688367</v>
      </c>
      <c r="L41" s="32">
        <f t="shared" ca="1" si="27"/>
        <v>0.40512173300438908</v>
      </c>
      <c r="M41" s="32">
        <f t="shared" ca="1" si="27"/>
        <v>0.50900042132753898</v>
      </c>
      <c r="N41" s="32">
        <f t="shared" ca="1" si="27"/>
        <v>0.62476116057820896</v>
      </c>
      <c r="O41" s="84"/>
    </row>
    <row r="42" spans="3:15" x14ac:dyDescent="0.15">
      <c r="O42" s="36"/>
    </row>
    <row r="43" spans="3:15" x14ac:dyDescent="0.15">
      <c r="C43" s="47" t="s">
        <v>243</v>
      </c>
      <c r="D43" s="47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248"/>
    </row>
    <row r="44" spans="3:15" x14ac:dyDescent="0.15">
      <c r="H44" s="249">
        <f>+EDATE('LBO Control'!H31,-12)</f>
        <v>44196</v>
      </c>
      <c r="I44" s="250">
        <f>+EDATE(H44,12)</f>
        <v>44561</v>
      </c>
      <c r="J44" s="250">
        <f t="shared" ref="J44:N44" si="28">+EDATE(I44,12)</f>
        <v>44926</v>
      </c>
      <c r="K44" s="250">
        <f t="shared" si="28"/>
        <v>45291</v>
      </c>
      <c r="L44" s="250">
        <f t="shared" si="28"/>
        <v>45657</v>
      </c>
      <c r="M44" s="250">
        <f t="shared" si="28"/>
        <v>46022</v>
      </c>
      <c r="N44" s="250">
        <f t="shared" si="28"/>
        <v>46387</v>
      </c>
      <c r="O44" s="36"/>
    </row>
    <row r="45" spans="3:15" x14ac:dyDescent="0.15">
      <c r="C45" s="64" t="s">
        <v>244</v>
      </c>
      <c r="D45" s="64"/>
      <c r="E45" s="64"/>
      <c r="F45" s="64"/>
      <c r="G45" s="64"/>
      <c r="H45" s="64"/>
      <c r="I45" s="254">
        <f>+'LBO Control'!H17</f>
        <v>15</v>
      </c>
      <c r="J45" s="253">
        <f>+I51</f>
        <v>0</v>
      </c>
      <c r="K45" s="253">
        <f t="shared" ref="K45:N45" si="29">+J51</f>
        <v>0</v>
      </c>
      <c r="L45" s="253">
        <f t="shared" si="29"/>
        <v>0</v>
      </c>
      <c r="M45" s="253">
        <f t="shared" si="29"/>
        <v>0</v>
      </c>
      <c r="N45" s="253">
        <f t="shared" si="29"/>
        <v>0</v>
      </c>
      <c r="O45" s="36"/>
    </row>
    <row r="46" spans="3:15" x14ac:dyDescent="0.15">
      <c r="C46" s="33" t="s">
        <v>160</v>
      </c>
      <c r="D46" s="33"/>
      <c r="I46" s="79">
        <f>+'LBO Control'!$H$11</f>
        <v>10</v>
      </c>
      <c r="J46" s="79">
        <f>+'LBO Control'!$H$11</f>
        <v>10</v>
      </c>
      <c r="K46" s="79">
        <f>+'LBO Control'!$H$11</f>
        <v>10</v>
      </c>
      <c r="L46" s="79">
        <f>+'LBO Control'!$H$11</f>
        <v>10</v>
      </c>
      <c r="M46" s="79">
        <f>+'LBO Control'!$H$11</f>
        <v>10</v>
      </c>
      <c r="N46" s="79">
        <f>+'LBO Control'!$H$11</f>
        <v>10</v>
      </c>
      <c r="O46" s="36"/>
    </row>
    <row r="47" spans="3:15" x14ac:dyDescent="0.15">
      <c r="C47" s="33" t="s">
        <v>245</v>
      </c>
      <c r="D47" s="33"/>
      <c r="I47" s="255">
        <v>1</v>
      </c>
      <c r="J47" s="255">
        <v>1</v>
      </c>
      <c r="K47" s="255">
        <v>1</v>
      </c>
      <c r="L47" s="255">
        <v>1</v>
      </c>
      <c r="M47" s="255">
        <v>1</v>
      </c>
      <c r="N47" s="255">
        <v>1</v>
      </c>
      <c r="O47" s="36"/>
    </row>
    <row r="48" spans="3:15" x14ac:dyDescent="0.15">
      <c r="C48" s="33" t="s">
        <v>238</v>
      </c>
      <c r="D48" s="33"/>
      <c r="I48" s="28">
        <f ca="1">+I36*I47</f>
        <v>4.39533520283622</v>
      </c>
      <c r="J48" s="28">
        <f t="shared" ref="J48:N48" ca="1" si="30">+J36*J47</f>
        <v>5.0863547983890482</v>
      </c>
      <c r="K48" s="28">
        <f t="shared" ca="1" si="30"/>
        <v>5.6520078598448009</v>
      </c>
      <c r="L48" s="28">
        <f t="shared" ca="1" si="30"/>
        <v>6.2919253264083297</v>
      </c>
      <c r="M48" s="28">
        <f t="shared" ca="1" si="30"/>
        <v>7.0137976480861788</v>
      </c>
      <c r="N48" s="28">
        <f t="shared" ca="1" si="30"/>
        <v>7.8260859888743415</v>
      </c>
      <c r="O48" s="36"/>
    </row>
    <row r="49" spans="3:15" x14ac:dyDescent="0.15">
      <c r="C49" s="251" t="s">
        <v>246</v>
      </c>
      <c r="D49" s="251"/>
      <c r="E49" s="63"/>
      <c r="F49" s="63"/>
      <c r="G49" s="63"/>
      <c r="H49" s="63"/>
      <c r="I49" s="94">
        <f t="shared" ref="I49:N49" ca="1" si="31">+IF(circ=0,0,I69+I79)</f>
        <v>-1.9725000000000006</v>
      </c>
      <c r="J49" s="94">
        <f t="shared" ca="1" si="31"/>
        <v>-1.9725000000000006</v>
      </c>
      <c r="K49" s="94">
        <f t="shared" ca="1" si="31"/>
        <v>-1.9725000000000006</v>
      </c>
      <c r="L49" s="94">
        <f t="shared" ca="1" si="31"/>
        <v>-1.9725000000000006</v>
      </c>
      <c r="M49" s="94">
        <f t="shared" ca="1" si="31"/>
        <v>-1.9725000000000006</v>
      </c>
      <c r="N49" s="94">
        <f t="shared" ca="1" si="31"/>
        <v>-1.9725000000000006</v>
      </c>
      <c r="O49" s="36"/>
    </row>
    <row r="50" spans="3:15" x14ac:dyDescent="0.15">
      <c r="C50" s="252" t="s">
        <v>247</v>
      </c>
      <c r="D50" s="252"/>
      <c r="I50" s="242">
        <f ca="1">+I45-I46+I48+I49</f>
        <v>7.4228352028362199</v>
      </c>
      <c r="J50" s="242">
        <f t="shared" ref="J50:N50" ca="1" si="32">+J45-J46+J48+J49</f>
        <v>-6.8861452016109528</v>
      </c>
      <c r="K50" s="242">
        <f t="shared" ca="1" si="32"/>
        <v>-6.3204921401551992</v>
      </c>
      <c r="L50" s="242">
        <f t="shared" ca="1" si="32"/>
        <v>-5.6805746735916713</v>
      </c>
      <c r="M50" s="242">
        <f t="shared" ca="1" si="32"/>
        <v>-4.9587023519138214</v>
      </c>
      <c r="N50" s="242">
        <f t="shared" ca="1" si="32"/>
        <v>-4.1464140111256587</v>
      </c>
      <c r="O50" s="36"/>
    </row>
    <row r="51" spans="3:15" x14ac:dyDescent="0.15">
      <c r="C51" s="252" t="s">
        <v>248</v>
      </c>
      <c r="D51" s="252"/>
      <c r="I51" s="28"/>
      <c r="J51" s="28"/>
      <c r="K51" s="28"/>
      <c r="L51" s="28"/>
      <c r="M51" s="28"/>
      <c r="N51" s="28"/>
      <c r="O51" s="36"/>
    </row>
    <row r="52" spans="3:15" x14ac:dyDescent="0.15">
      <c r="O52" s="36"/>
    </row>
    <row r="53" spans="3:15" s="30" customFormat="1" x14ac:dyDescent="0.15">
      <c r="C53" s="26" t="s">
        <v>249</v>
      </c>
      <c r="D53" s="26"/>
      <c r="I53" s="256">
        <v>2E-3</v>
      </c>
      <c r="J53" s="256">
        <v>2E-3</v>
      </c>
      <c r="K53" s="256">
        <v>2E-3</v>
      </c>
      <c r="L53" s="256">
        <v>2E-3</v>
      </c>
      <c r="M53" s="256">
        <v>2E-3</v>
      </c>
      <c r="N53" s="256">
        <v>2E-3</v>
      </c>
      <c r="O53" s="37"/>
    </row>
    <row r="54" spans="3:15" x14ac:dyDescent="0.15">
      <c r="O54" s="36"/>
    </row>
    <row r="55" spans="3:15" x14ac:dyDescent="0.15">
      <c r="C55" s="5" t="s">
        <v>250</v>
      </c>
      <c r="O55" s="36"/>
    </row>
    <row r="56" spans="3:15" x14ac:dyDescent="0.15">
      <c r="C56" s="33" t="s">
        <v>251</v>
      </c>
      <c r="D56" s="257" t="s">
        <v>255</v>
      </c>
      <c r="E56" s="259">
        <f>+'LBO Control'!K28</f>
        <v>100</v>
      </c>
      <c r="H56" s="28"/>
      <c r="I56" s="28">
        <f>+H58</f>
        <v>0</v>
      </c>
      <c r="J56" s="28">
        <f t="shared" ref="J56:N56" ca="1" si="33">+I58</f>
        <v>0</v>
      </c>
      <c r="K56" s="28">
        <f t="shared" ca="1" si="33"/>
        <v>6.8861452016109528</v>
      </c>
      <c r="L56" s="28">
        <f t="shared" ca="1" si="33"/>
        <v>13.206637341766152</v>
      </c>
      <c r="M56" s="28">
        <f t="shared" ca="1" si="33"/>
        <v>18.887212015357825</v>
      </c>
      <c r="N56" s="28">
        <f t="shared" ca="1" si="33"/>
        <v>23.845914367271646</v>
      </c>
      <c r="O56" s="36"/>
    </row>
    <row r="57" spans="3:15" x14ac:dyDescent="0.15">
      <c r="C57" s="33" t="s">
        <v>252</v>
      </c>
      <c r="D57" s="257" t="s">
        <v>256</v>
      </c>
      <c r="E57" s="258">
        <v>1</v>
      </c>
      <c r="H57" s="28"/>
      <c r="I57" s="28">
        <f ca="1">+MIN(-MIN(I50,I56)*$E$57,H59)</f>
        <v>0</v>
      </c>
      <c r="J57" s="28">
        <f ca="1">+MIN(-MIN(J50,J56)*$E$57,I59)</f>
        <v>6.8861452016109528</v>
      </c>
      <c r="K57" s="28">
        <f t="shared" ref="K57:N57" ca="1" si="34">+MIN(-MIN(K50,K56)*$E$57,J59)</f>
        <v>6.3204921401551992</v>
      </c>
      <c r="L57" s="28">
        <f t="shared" ca="1" si="34"/>
        <v>5.6805746735916713</v>
      </c>
      <c r="M57" s="28">
        <f t="shared" ca="1" si="34"/>
        <v>4.9587023519138214</v>
      </c>
      <c r="N57" s="28">
        <f t="shared" ca="1" si="34"/>
        <v>4.1464140111256587</v>
      </c>
      <c r="O57" s="36"/>
    </row>
    <row r="58" spans="3:15" x14ac:dyDescent="0.15">
      <c r="C58" s="81" t="s">
        <v>272</v>
      </c>
      <c r="D58" s="81"/>
      <c r="E58" s="81"/>
      <c r="F58" s="81"/>
      <c r="G58" s="81"/>
      <c r="H58" s="260">
        <v>0</v>
      </c>
      <c r="I58" s="82">
        <f ca="1">+SUM(I56:I57)</f>
        <v>0</v>
      </c>
      <c r="J58" s="82">
        <f t="shared" ref="J58:N58" ca="1" si="35">+SUM(J56:J57)</f>
        <v>6.8861452016109528</v>
      </c>
      <c r="K58" s="82">
        <f t="shared" ca="1" si="35"/>
        <v>13.206637341766152</v>
      </c>
      <c r="L58" s="82">
        <f t="shared" ca="1" si="35"/>
        <v>18.887212015357825</v>
      </c>
      <c r="M58" s="82">
        <f t="shared" ca="1" si="35"/>
        <v>23.845914367271646</v>
      </c>
      <c r="N58" s="82">
        <f t="shared" ca="1" si="35"/>
        <v>27.992328378397303</v>
      </c>
      <c r="O58" s="36"/>
    </row>
    <row r="59" spans="3:15" x14ac:dyDescent="0.15">
      <c r="C59" t="s">
        <v>253</v>
      </c>
      <c r="H59" s="28">
        <f>+$E$56-H58</f>
        <v>100</v>
      </c>
      <c r="I59" s="28">
        <f ca="1">+$E$56-I58</f>
        <v>100</v>
      </c>
      <c r="J59" s="28">
        <f t="shared" ref="J59:N59" ca="1" si="36">+$E$56-J58</f>
        <v>93.113854798389042</v>
      </c>
      <c r="K59" s="28">
        <f t="shared" ca="1" si="36"/>
        <v>86.793362658233846</v>
      </c>
      <c r="L59" s="28">
        <f t="shared" ca="1" si="36"/>
        <v>81.112787984642182</v>
      </c>
      <c r="M59" s="28">
        <f t="shared" ca="1" si="36"/>
        <v>76.154085632728354</v>
      </c>
      <c r="N59" s="28">
        <f t="shared" ca="1" si="36"/>
        <v>72.007671621602697</v>
      </c>
      <c r="O59" s="36"/>
    </row>
    <row r="60" spans="3:15" x14ac:dyDescent="0.15">
      <c r="O60" s="36"/>
    </row>
    <row r="61" spans="3:15" x14ac:dyDescent="0.15">
      <c r="C61" s="33" t="s">
        <v>34</v>
      </c>
      <c r="D61" s="257" t="s">
        <v>257</v>
      </c>
      <c r="E61" s="262">
        <f>+'LBO Control'!$K$29</f>
        <v>200</v>
      </c>
      <c r="I61" s="28">
        <f ca="1">+AVERAGE(H58:I58)*($E$61/10000+I53)</f>
        <v>0</v>
      </c>
      <c r="J61" s="28">
        <f t="shared" ref="J61:N61" ca="1" si="37">+AVERAGE(I58:J58)*($E$61/10000+J53)</f>
        <v>7.574759721772048E-2</v>
      </c>
      <c r="K61" s="28">
        <f t="shared" ca="1" si="37"/>
        <v>0.22102060797714815</v>
      </c>
      <c r="L61" s="28">
        <f t="shared" ca="1" si="37"/>
        <v>0.35303234292836377</v>
      </c>
      <c r="M61" s="28">
        <f t="shared" ca="1" si="37"/>
        <v>0.47006439020892415</v>
      </c>
      <c r="N61" s="28">
        <f t="shared" ca="1" si="37"/>
        <v>0.57022067020235845</v>
      </c>
    </row>
    <row r="62" spans="3:15" x14ac:dyDescent="0.15">
      <c r="C62" s="33" t="s">
        <v>182</v>
      </c>
      <c r="D62" s="257" t="s">
        <v>258</v>
      </c>
      <c r="E62" s="263">
        <f>+'LBO Control'!$K$30</f>
        <v>1E-3</v>
      </c>
      <c r="I62" s="28">
        <f ca="1">+AVERAGE(H58:I58)*$E$62</f>
        <v>0</v>
      </c>
      <c r="J62" s="28">
        <f t="shared" ref="J62:N62" ca="1" si="38">+AVERAGE(I58:J58)*$E$62</f>
        <v>3.4430726008054763E-3</v>
      </c>
      <c r="K62" s="28">
        <f t="shared" ca="1" si="38"/>
        <v>1.0046391271688552E-2</v>
      </c>
      <c r="L62" s="28">
        <f t="shared" ca="1" si="38"/>
        <v>1.6046924678561988E-2</v>
      </c>
      <c r="M62" s="28">
        <f t="shared" ca="1" si="38"/>
        <v>2.1366563191314736E-2</v>
      </c>
      <c r="N62" s="28">
        <f t="shared" ca="1" si="38"/>
        <v>2.5919121372834475E-2</v>
      </c>
    </row>
    <row r="63" spans="3:15" x14ac:dyDescent="0.15">
      <c r="C63" s="64" t="s">
        <v>254</v>
      </c>
      <c r="D63" s="64"/>
      <c r="E63" s="64"/>
      <c r="F63" s="64"/>
      <c r="G63" s="64"/>
      <c r="H63" s="64"/>
      <c r="I63" s="253">
        <f ca="1">SUM(I61:I62)</f>
        <v>0</v>
      </c>
      <c r="J63" s="253">
        <f t="shared" ref="J63:N63" ca="1" si="39">SUM(J61:J62)</f>
        <v>7.9190669818525961E-2</v>
      </c>
      <c r="K63" s="253">
        <f t="shared" ca="1" si="39"/>
        <v>0.2310669992488367</v>
      </c>
      <c r="L63" s="253">
        <f t="shared" ca="1" si="39"/>
        <v>0.36907926760692578</v>
      </c>
      <c r="M63" s="253">
        <f t="shared" ca="1" si="39"/>
        <v>0.4914309534002389</v>
      </c>
      <c r="N63" s="253">
        <f t="shared" ca="1" si="39"/>
        <v>0.59613979157519292</v>
      </c>
    </row>
    <row r="65" spans="3:14" x14ac:dyDescent="0.15">
      <c r="C65" s="5" t="s">
        <v>264</v>
      </c>
      <c r="I65" s="28">
        <f ca="1">+I50+I57</f>
        <v>7.4228352028362199</v>
      </c>
      <c r="J65" s="28">
        <f t="shared" ref="J65:N65" ca="1" si="40">+J50+J57</f>
        <v>0</v>
      </c>
      <c r="K65" s="28">
        <f t="shared" ca="1" si="40"/>
        <v>0</v>
      </c>
      <c r="L65" s="28">
        <f t="shared" ca="1" si="40"/>
        <v>0</v>
      </c>
      <c r="M65" s="28">
        <f t="shared" ca="1" si="40"/>
        <v>0</v>
      </c>
      <c r="N65" s="28">
        <f t="shared" ca="1" si="40"/>
        <v>0</v>
      </c>
    </row>
    <row r="67" spans="3:14" x14ac:dyDescent="0.15">
      <c r="C67" s="141" t="s">
        <v>146</v>
      </c>
    </row>
    <row r="68" spans="3:14" x14ac:dyDescent="0.15">
      <c r="C68" s="33" t="s">
        <v>251</v>
      </c>
      <c r="I68" s="28">
        <f>+H71</f>
        <v>34.518750000000004</v>
      </c>
      <c r="J68" s="28">
        <f t="shared" ref="J68:N68" ca="1" si="41">+I71</f>
        <v>23.644039797163785</v>
      </c>
      <c r="K68" s="28">
        <f t="shared" ca="1" si="41"/>
        <v>20.192164797163784</v>
      </c>
      <c r="L68" s="28">
        <f t="shared" ca="1" si="41"/>
        <v>16.740289797163783</v>
      </c>
      <c r="M68" s="28">
        <f t="shared" ca="1" si="41"/>
        <v>13.288414797163782</v>
      </c>
      <c r="N68" s="28">
        <f t="shared" ca="1" si="41"/>
        <v>9.8365397971637805</v>
      </c>
    </row>
    <row r="69" spans="3:14" x14ac:dyDescent="0.15">
      <c r="C69" s="33" t="s">
        <v>259</v>
      </c>
      <c r="D69" s="257" t="s">
        <v>262</v>
      </c>
      <c r="E69" s="261">
        <f>+'LBO Control'!K19</f>
        <v>0.1</v>
      </c>
      <c r="I69" s="28">
        <f t="shared" ref="I69:N69" ca="1" si="42">+IF(circ=1,IF(I$71&gt;0,$E$69*-1*$H$71,0),0)</f>
        <v>-3.4518750000000007</v>
      </c>
      <c r="J69" s="28">
        <f t="shared" ca="1" si="42"/>
        <v>-3.4518750000000007</v>
      </c>
      <c r="K69" s="28">
        <f t="shared" ca="1" si="42"/>
        <v>-3.4518750000000007</v>
      </c>
      <c r="L69" s="28">
        <f t="shared" ca="1" si="42"/>
        <v>-3.4518750000000007</v>
      </c>
      <c r="M69" s="28">
        <f t="shared" ca="1" si="42"/>
        <v>-3.4518750000000007</v>
      </c>
      <c r="N69" s="28">
        <f t="shared" ca="1" si="42"/>
        <v>-3.4518750000000007</v>
      </c>
    </row>
    <row r="70" spans="3:14" x14ac:dyDescent="0.15">
      <c r="C70" s="33" t="s">
        <v>260</v>
      </c>
      <c r="D70" s="257" t="s">
        <v>256</v>
      </c>
      <c r="E70" s="258">
        <v>1</v>
      </c>
      <c r="I70" s="28">
        <f ca="1">+IF(I65&gt;0,-MIN(SUM(I68:I68)*$E$70,I65),)</f>
        <v>-7.4228352028362199</v>
      </c>
      <c r="J70" s="28">
        <f t="shared" ref="J70:N70" ca="1" si="43">+IF(J65&gt;0,-MIN(SUM(J68:J68)*$E$70,J65),)</f>
        <v>0</v>
      </c>
      <c r="K70" s="28">
        <f t="shared" ca="1" si="43"/>
        <v>0</v>
      </c>
      <c r="L70" s="28">
        <f t="shared" ca="1" si="43"/>
        <v>0</v>
      </c>
      <c r="M70" s="28">
        <f t="shared" ca="1" si="43"/>
        <v>0</v>
      </c>
      <c r="N70" s="28">
        <f t="shared" ca="1" si="43"/>
        <v>0</v>
      </c>
    </row>
    <row r="71" spans="3:14" x14ac:dyDescent="0.15">
      <c r="C71" s="81" t="s">
        <v>261</v>
      </c>
      <c r="D71" s="64"/>
      <c r="E71" s="64"/>
      <c r="F71" s="64"/>
      <c r="G71" s="64"/>
      <c r="H71" s="244">
        <f>+'LBO Control'!D13</f>
        <v>34.518750000000004</v>
      </c>
      <c r="I71" s="82">
        <f ca="1">SUM(I68:I70)</f>
        <v>23.644039797163785</v>
      </c>
      <c r="J71" s="82">
        <f t="shared" ref="J71:N71" ca="1" si="44">SUM(J68:J70)</f>
        <v>20.192164797163784</v>
      </c>
      <c r="K71" s="82">
        <f t="shared" ca="1" si="44"/>
        <v>16.740289797163783</v>
      </c>
      <c r="L71" s="82">
        <f t="shared" ca="1" si="44"/>
        <v>13.288414797163782</v>
      </c>
      <c r="M71" s="82">
        <f t="shared" ca="1" si="44"/>
        <v>9.8365397971637805</v>
      </c>
      <c r="N71" s="82">
        <f t="shared" ca="1" si="44"/>
        <v>6.3846647971637793</v>
      </c>
    </row>
    <row r="73" spans="3:14" x14ac:dyDescent="0.15">
      <c r="C73" s="264" t="s">
        <v>265</v>
      </c>
      <c r="D73" s="257" t="s">
        <v>257</v>
      </c>
      <c r="E73" s="79">
        <f>+'LBO Control'!K17</f>
        <v>400</v>
      </c>
      <c r="I73" s="28">
        <f t="shared" ref="I73:N73" ca="1" si="45">+IF(circ=0,0,($E$73/10000+I$53)*AVERAGE(H71:I71))</f>
        <v>1.2214185857404396</v>
      </c>
      <c r="J73" s="28">
        <f t="shared" ca="1" si="45"/>
        <v>0.920560296480879</v>
      </c>
      <c r="K73" s="28">
        <f t="shared" ca="1" si="45"/>
        <v>0.77558154648087896</v>
      </c>
      <c r="L73" s="28">
        <f t="shared" ca="1" si="45"/>
        <v>0.63060279648087891</v>
      </c>
      <c r="M73" s="28">
        <f t="shared" ca="1" si="45"/>
        <v>0.48562404648087881</v>
      </c>
      <c r="N73" s="28">
        <f t="shared" ca="1" si="45"/>
        <v>0.34064529648087877</v>
      </c>
    </row>
    <row r="75" spans="3:14" x14ac:dyDescent="0.15">
      <c r="C75" s="5" t="s">
        <v>266</v>
      </c>
      <c r="I75" s="29">
        <f ca="1">+I65+I70</f>
        <v>0</v>
      </c>
      <c r="J75" s="29">
        <f t="shared" ref="J75:N75" ca="1" si="46">+J65+J70</f>
        <v>0</v>
      </c>
      <c r="K75" s="29">
        <f t="shared" ca="1" si="46"/>
        <v>0</v>
      </c>
      <c r="L75" s="29">
        <f t="shared" ca="1" si="46"/>
        <v>0</v>
      </c>
      <c r="M75" s="29">
        <f t="shared" ca="1" si="46"/>
        <v>0</v>
      </c>
      <c r="N75" s="29">
        <f t="shared" ca="1" si="46"/>
        <v>0</v>
      </c>
    </row>
    <row r="77" spans="3:14" x14ac:dyDescent="0.15">
      <c r="C77" s="141" t="s">
        <v>147</v>
      </c>
    </row>
    <row r="78" spans="3:14" x14ac:dyDescent="0.15">
      <c r="C78" s="33" t="s">
        <v>251</v>
      </c>
      <c r="I78" s="28">
        <f>+H81</f>
        <v>14.793750000000001</v>
      </c>
      <c r="J78" s="28">
        <f t="shared" ref="J78:N78" ca="1" si="47">+I81</f>
        <v>16.273125</v>
      </c>
      <c r="K78" s="28">
        <f t="shared" ca="1" si="47"/>
        <v>17.752500000000001</v>
      </c>
      <c r="L78" s="28">
        <f t="shared" ca="1" si="47"/>
        <v>19.231875000000002</v>
      </c>
      <c r="M78" s="28">
        <f t="shared" ca="1" si="47"/>
        <v>20.711250000000003</v>
      </c>
      <c r="N78" s="28">
        <f t="shared" ca="1" si="47"/>
        <v>22.190625000000004</v>
      </c>
    </row>
    <row r="79" spans="3:14" x14ac:dyDescent="0.15">
      <c r="C79" s="33" t="s">
        <v>259</v>
      </c>
      <c r="D79" s="257" t="s">
        <v>262</v>
      </c>
      <c r="E79" s="261">
        <f>+'LBO Control'!K25</f>
        <v>0.1</v>
      </c>
      <c r="I79" s="28">
        <f t="shared" ref="I79:N79" ca="1" si="48">+IF(circ=1,IF(I$81&gt;0,$E$79*$H$81,0),0)</f>
        <v>1.4793750000000001</v>
      </c>
      <c r="J79" s="28">
        <f t="shared" ca="1" si="48"/>
        <v>1.4793750000000001</v>
      </c>
      <c r="K79" s="28">
        <f t="shared" ca="1" si="48"/>
        <v>1.4793750000000001</v>
      </c>
      <c r="L79" s="28">
        <f t="shared" ca="1" si="48"/>
        <v>1.4793750000000001</v>
      </c>
      <c r="M79" s="28">
        <f t="shared" ca="1" si="48"/>
        <v>1.4793750000000001</v>
      </c>
      <c r="N79" s="28">
        <f t="shared" ca="1" si="48"/>
        <v>1.4793750000000001</v>
      </c>
    </row>
    <row r="80" spans="3:14" x14ac:dyDescent="0.15">
      <c r="C80" s="33" t="s">
        <v>260</v>
      </c>
      <c r="D80" s="257" t="s">
        <v>256</v>
      </c>
      <c r="E80" s="258">
        <v>1</v>
      </c>
      <c r="I80" s="28">
        <f ca="1">+IF(I75&gt;0,-MIN(SUM(I75:I75)*$E$80,I75),)</f>
        <v>0</v>
      </c>
      <c r="J80" s="28">
        <f t="shared" ref="J80:N80" ca="1" si="49">+IF(J75&gt;0,-MIN(SUM(J75:J75)*$E$80,J75),)</f>
        <v>0</v>
      </c>
      <c r="K80" s="28">
        <f t="shared" ca="1" si="49"/>
        <v>0</v>
      </c>
      <c r="L80" s="28">
        <f t="shared" ca="1" si="49"/>
        <v>0</v>
      </c>
      <c r="M80" s="28">
        <f t="shared" ca="1" si="49"/>
        <v>0</v>
      </c>
      <c r="N80" s="28">
        <f t="shared" ca="1" si="49"/>
        <v>0</v>
      </c>
    </row>
    <row r="81" spans="3:15" x14ac:dyDescent="0.15">
      <c r="C81" s="81" t="s">
        <v>261</v>
      </c>
      <c r="D81" s="64"/>
      <c r="E81" s="64"/>
      <c r="F81" s="64"/>
      <c r="G81" s="64"/>
      <c r="H81" s="244">
        <f>+'LBO Control'!D14</f>
        <v>14.793750000000001</v>
      </c>
      <c r="I81" s="82">
        <f ca="1">SUM(I78:I80)</f>
        <v>16.273125</v>
      </c>
      <c r="J81" s="82">
        <f t="shared" ref="J81:N81" ca="1" si="50">SUM(J78:J80)</f>
        <v>17.752500000000001</v>
      </c>
      <c r="K81" s="82">
        <f t="shared" ca="1" si="50"/>
        <v>19.231875000000002</v>
      </c>
      <c r="L81" s="82">
        <f t="shared" ca="1" si="50"/>
        <v>20.711250000000003</v>
      </c>
      <c r="M81" s="82">
        <f t="shared" ca="1" si="50"/>
        <v>22.190625000000004</v>
      </c>
      <c r="N81" s="82">
        <f t="shared" ca="1" si="50"/>
        <v>23.670000000000005</v>
      </c>
    </row>
    <row r="83" spans="3:15" x14ac:dyDescent="0.15">
      <c r="C83" s="264" t="s">
        <v>265</v>
      </c>
      <c r="D83" s="257" t="s">
        <v>257</v>
      </c>
      <c r="E83" s="79">
        <f>+'LBO Control'!K23</f>
        <v>600</v>
      </c>
      <c r="I83" s="28">
        <f t="shared" ref="I83:N83" ca="1" si="51">+IF(circ=0,0,($E$83/10000+I$53)*AVERAGE(H81:I81))</f>
        <v>0.96307312500000009</v>
      </c>
      <c r="J83" s="28">
        <f t="shared" ca="1" si="51"/>
        <v>1.0547943750000002</v>
      </c>
      <c r="K83" s="28">
        <f t="shared" ca="1" si="51"/>
        <v>1.1465156249999999</v>
      </c>
      <c r="L83" s="28">
        <f t="shared" ca="1" si="51"/>
        <v>1.2382368750000003</v>
      </c>
      <c r="M83" s="28">
        <f t="shared" ca="1" si="51"/>
        <v>1.3299581250000001</v>
      </c>
      <c r="N83" s="28">
        <f t="shared" ca="1" si="51"/>
        <v>1.4216793750000003</v>
      </c>
    </row>
    <row r="85" spans="3:15" x14ac:dyDescent="0.15">
      <c r="C85" s="47" t="s">
        <v>268</v>
      </c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</row>
    <row r="86" spans="3:15" s="30" customFormat="1" x14ac:dyDescent="0.15">
      <c r="H86" s="273">
        <f>+H44</f>
        <v>44196</v>
      </c>
      <c r="I86" s="273">
        <f t="shared" ref="I86:N86" si="52">+I44</f>
        <v>44561</v>
      </c>
      <c r="J86" s="273">
        <f t="shared" si="52"/>
        <v>44926</v>
      </c>
      <c r="K86" s="273">
        <f t="shared" si="52"/>
        <v>45291</v>
      </c>
      <c r="L86" s="273">
        <f t="shared" si="52"/>
        <v>45657</v>
      </c>
      <c r="M86" s="273">
        <f t="shared" si="52"/>
        <v>46022</v>
      </c>
      <c r="N86" s="273">
        <f t="shared" si="52"/>
        <v>46387</v>
      </c>
    </row>
    <row r="88" spans="3:15" x14ac:dyDescent="0.15">
      <c r="C88" t="s">
        <v>269</v>
      </c>
      <c r="I88" s="29">
        <f ca="1">+I63+I73+I83</f>
        <v>2.1844917107404398</v>
      </c>
      <c r="J88" s="29">
        <f t="shared" ref="J88:N88" ca="1" si="53">+J63+J73+J83</f>
        <v>2.0545453412994052</v>
      </c>
      <c r="K88" s="29">
        <f t="shared" ca="1" si="53"/>
        <v>2.1531641707297156</v>
      </c>
      <c r="L88" s="29">
        <f t="shared" ca="1" si="53"/>
        <v>2.2379189390878049</v>
      </c>
      <c r="M88" s="29">
        <f t="shared" ca="1" si="53"/>
        <v>2.3070131248811179</v>
      </c>
      <c r="N88" s="29">
        <f t="shared" ca="1" si="53"/>
        <v>2.3584644630560723</v>
      </c>
    </row>
    <row r="90" spans="3:15" x14ac:dyDescent="0.15">
      <c r="C90" s="33" t="s">
        <v>270</v>
      </c>
      <c r="H90" s="79">
        <f>+H81+H71+H58</f>
        <v>49.312500000000007</v>
      </c>
      <c r="I90" s="28">
        <f t="shared" ref="I90:N90" ca="1" si="54">+I81+I71+I58</f>
        <v>39.917164797163785</v>
      </c>
      <c r="J90" s="28">
        <f t="shared" ca="1" si="54"/>
        <v>44.830809998774733</v>
      </c>
      <c r="K90" s="28">
        <f t="shared" ca="1" si="54"/>
        <v>49.178802138929939</v>
      </c>
      <c r="L90" s="28">
        <f t="shared" ca="1" si="54"/>
        <v>52.886876812521614</v>
      </c>
      <c r="M90" s="28">
        <f t="shared" ca="1" si="54"/>
        <v>55.873079164435431</v>
      </c>
      <c r="N90" s="28">
        <f t="shared" ca="1" si="54"/>
        <v>58.046993175561084</v>
      </c>
    </row>
    <row r="91" spans="3:15" x14ac:dyDescent="0.15">
      <c r="C91" s="33" t="s">
        <v>103</v>
      </c>
      <c r="H91" s="28"/>
      <c r="I91" s="28">
        <f t="shared" ref="I91:N91" si="55">+I12</f>
        <v>9.8625000000000007</v>
      </c>
      <c r="J91" s="28">
        <f t="shared" si="55"/>
        <v>10.809375000000001</v>
      </c>
      <c r="K91" s="28">
        <f t="shared" si="55"/>
        <v>11.848968750000003</v>
      </c>
      <c r="L91" s="28">
        <f t="shared" si="55"/>
        <v>12.990454687500005</v>
      </c>
      <c r="M91" s="28">
        <f t="shared" si="55"/>
        <v>14.243918671875004</v>
      </c>
      <c r="N91" s="28">
        <f t="shared" si="55"/>
        <v>15.620449980468756</v>
      </c>
    </row>
    <row r="92" spans="3:15" x14ac:dyDescent="0.15">
      <c r="C92" s="81" t="s">
        <v>271</v>
      </c>
      <c r="D92" s="64"/>
      <c r="E92" s="64"/>
      <c r="F92" s="64"/>
      <c r="G92" s="64"/>
      <c r="H92" s="274"/>
      <c r="I92" s="274">
        <f t="shared" ref="I92:N92" ca="1" si="56">+I90/I91</f>
        <v>4.0473677867846671</v>
      </c>
      <c r="J92" s="274">
        <f t="shared" ca="1" si="56"/>
        <v>4.147400751548977</v>
      </c>
      <c r="K92" s="274">
        <f t="shared" ca="1" si="56"/>
        <v>4.1504710812010481</v>
      </c>
      <c r="L92" s="274">
        <f t="shared" ca="1" si="56"/>
        <v>4.071210599226502</v>
      </c>
      <c r="M92" s="274">
        <f t="shared" ca="1" si="56"/>
        <v>3.9225918408786136</v>
      </c>
      <c r="N92" s="274">
        <f t="shared" ca="1" si="56"/>
        <v>3.7160896931996801</v>
      </c>
    </row>
    <row r="94" spans="3:15" x14ac:dyDescent="0.15">
      <c r="C94" s="33" t="s">
        <v>120</v>
      </c>
      <c r="H94" s="79">
        <f>+H90-H51</f>
        <v>49.312500000000007</v>
      </c>
      <c r="I94" s="28">
        <f t="shared" ref="I94:N94" ca="1" si="57">+I90-I51</f>
        <v>39.917164797163785</v>
      </c>
      <c r="J94" s="28">
        <f t="shared" ca="1" si="57"/>
        <v>44.830809998774733</v>
      </c>
      <c r="K94" s="28">
        <f t="shared" ca="1" si="57"/>
        <v>49.178802138929939</v>
      </c>
      <c r="L94" s="28">
        <f t="shared" ca="1" si="57"/>
        <v>52.886876812521614</v>
      </c>
      <c r="M94" s="28">
        <f t="shared" ca="1" si="57"/>
        <v>55.873079164435431</v>
      </c>
      <c r="N94" s="28">
        <f t="shared" ca="1" si="57"/>
        <v>58.046993175561084</v>
      </c>
    </row>
    <row r="95" spans="3:15" x14ac:dyDescent="0.15">
      <c r="C95" s="33" t="s">
        <v>103</v>
      </c>
      <c r="H95" s="28"/>
      <c r="I95" s="28">
        <f t="shared" ref="I95:N95" si="58">+I91</f>
        <v>9.8625000000000007</v>
      </c>
      <c r="J95" s="28">
        <f t="shared" si="58"/>
        <v>10.809375000000001</v>
      </c>
      <c r="K95" s="28">
        <f t="shared" si="58"/>
        <v>11.848968750000003</v>
      </c>
      <c r="L95" s="28">
        <f t="shared" si="58"/>
        <v>12.990454687500005</v>
      </c>
      <c r="M95" s="28">
        <f t="shared" si="58"/>
        <v>14.243918671875004</v>
      </c>
      <c r="N95" s="28">
        <f t="shared" si="58"/>
        <v>15.620449980468756</v>
      </c>
    </row>
    <row r="96" spans="3:15" x14ac:dyDescent="0.15">
      <c r="C96" s="81" t="s">
        <v>273</v>
      </c>
      <c r="D96" s="64"/>
      <c r="E96" s="64"/>
      <c r="F96" s="64"/>
      <c r="G96" s="64"/>
      <c r="H96" s="274"/>
      <c r="I96" s="274">
        <f t="shared" ref="I96" ca="1" si="59">+I94/I95</f>
        <v>4.0473677867846671</v>
      </c>
      <c r="J96" s="274">
        <f t="shared" ref="J96" ca="1" si="60">+J94/J95</f>
        <v>4.147400751548977</v>
      </c>
      <c r="K96" s="274">
        <f t="shared" ref="K96" ca="1" si="61">+K94/K95</f>
        <v>4.1504710812010481</v>
      </c>
      <c r="L96" s="274">
        <f t="shared" ref="L96" ca="1" si="62">+L94/L95</f>
        <v>4.071210599226502</v>
      </c>
      <c r="M96" s="274">
        <f t="shared" ref="M96" ca="1" si="63">+M94/M95</f>
        <v>3.9225918408786136</v>
      </c>
      <c r="N96" s="274">
        <f t="shared" ref="N96" ca="1" si="64">+N94/N95</f>
        <v>3.7160896931996801</v>
      </c>
    </row>
    <row r="98" spans="3:14" x14ac:dyDescent="0.15">
      <c r="C98" s="33" t="s">
        <v>103</v>
      </c>
      <c r="H98" s="28"/>
      <c r="I98" s="28">
        <f t="shared" ref="I98:N98" si="65">+I95</f>
        <v>9.8625000000000007</v>
      </c>
      <c r="J98" s="28">
        <f t="shared" si="65"/>
        <v>10.809375000000001</v>
      </c>
      <c r="K98" s="28">
        <f t="shared" si="65"/>
        <v>11.848968750000003</v>
      </c>
      <c r="L98" s="28">
        <f t="shared" si="65"/>
        <v>12.990454687500005</v>
      </c>
      <c r="M98" s="28">
        <f t="shared" si="65"/>
        <v>14.243918671875004</v>
      </c>
      <c r="N98" s="28">
        <f t="shared" si="65"/>
        <v>15.620449980468756</v>
      </c>
    </row>
    <row r="99" spans="3:14" x14ac:dyDescent="0.15">
      <c r="C99" s="33" t="s">
        <v>274</v>
      </c>
      <c r="H99" s="28"/>
      <c r="I99" s="28">
        <f>+'LBO Control'!$H$35</f>
        <v>12</v>
      </c>
      <c r="J99" s="28">
        <f>+'LBO Control'!$H$35</f>
        <v>12</v>
      </c>
      <c r="K99" s="28">
        <f>+'LBO Control'!$H$35</f>
        <v>12</v>
      </c>
      <c r="L99" s="28">
        <f>+'LBO Control'!$H$35</f>
        <v>12</v>
      </c>
      <c r="M99" s="28">
        <f>+'LBO Control'!$H$35</f>
        <v>12</v>
      </c>
      <c r="N99" s="28">
        <f>+'LBO Control'!$H$35</f>
        <v>12</v>
      </c>
    </row>
    <row r="100" spans="3:14" x14ac:dyDescent="0.15">
      <c r="C100" s="81" t="s">
        <v>119</v>
      </c>
      <c r="D100" s="64"/>
      <c r="E100" s="64"/>
      <c r="F100" s="64"/>
      <c r="G100" s="64"/>
      <c r="H100" s="82"/>
      <c r="I100" s="82">
        <f t="shared" ref="I100:N100" si="66">+I99*I98</f>
        <v>118.35000000000001</v>
      </c>
      <c r="J100" s="82">
        <f t="shared" si="66"/>
        <v>129.71250000000001</v>
      </c>
      <c r="K100" s="82">
        <f t="shared" si="66"/>
        <v>142.18762500000003</v>
      </c>
      <c r="L100" s="82">
        <f t="shared" si="66"/>
        <v>155.88545625000006</v>
      </c>
      <c r="M100" s="82">
        <f t="shared" si="66"/>
        <v>170.92702406250004</v>
      </c>
      <c r="N100" s="82">
        <f t="shared" si="66"/>
        <v>187.44539976562507</v>
      </c>
    </row>
    <row r="101" spans="3:14" x14ac:dyDescent="0.15">
      <c r="C101" s="33" t="s">
        <v>120</v>
      </c>
      <c r="H101" s="28"/>
      <c r="I101" s="28">
        <f t="shared" ref="I101:N101" ca="1" si="67">+I94*-1</f>
        <v>-39.917164797163785</v>
      </c>
      <c r="J101" s="28">
        <f t="shared" ca="1" si="67"/>
        <v>-44.830809998774733</v>
      </c>
      <c r="K101" s="28">
        <f t="shared" ca="1" si="67"/>
        <v>-49.178802138929939</v>
      </c>
      <c r="L101" s="28">
        <f t="shared" ca="1" si="67"/>
        <v>-52.886876812521614</v>
      </c>
      <c r="M101" s="28">
        <f t="shared" ca="1" si="67"/>
        <v>-55.873079164435431</v>
      </c>
      <c r="N101" s="28">
        <f t="shared" ca="1" si="67"/>
        <v>-58.046993175561084</v>
      </c>
    </row>
    <row r="102" spans="3:14" x14ac:dyDescent="0.15">
      <c r="C102" s="81" t="s">
        <v>121</v>
      </c>
      <c r="D102" s="64"/>
      <c r="E102" s="64"/>
      <c r="F102" s="64"/>
      <c r="G102" s="64"/>
      <c r="H102" s="82"/>
      <c r="I102" s="82">
        <f t="shared" ref="I102:N102" ca="1" si="68">+I101+I100</f>
        <v>78.43283520283623</v>
      </c>
      <c r="J102" s="82">
        <f t="shared" ca="1" si="68"/>
        <v>84.88169000122528</v>
      </c>
      <c r="K102" s="82">
        <f t="shared" ca="1" si="68"/>
        <v>93.008822861070087</v>
      </c>
      <c r="L102" s="82">
        <f t="shared" ca="1" si="68"/>
        <v>102.99857943747844</v>
      </c>
      <c r="M102" s="82">
        <f t="shared" ca="1" si="68"/>
        <v>115.0539448980646</v>
      </c>
      <c r="N102" s="82">
        <f t="shared" ca="1" si="68"/>
        <v>129.39840659006398</v>
      </c>
    </row>
    <row r="103" spans="3:14" x14ac:dyDescent="0.15">
      <c r="C103" s="33" t="s">
        <v>117</v>
      </c>
      <c r="H103" s="28">
        <f>+'LBO Control'!D12*-1</f>
        <v>-71.848312499999992</v>
      </c>
      <c r="I103" s="28">
        <f>+IF('LBO Control'!$H$32=LBO!I86,LBO!I102,0)</f>
        <v>0</v>
      </c>
      <c r="J103" s="28">
        <f>+IF('LBO Control'!$H$32=LBO!J86,LBO!J102,0)</f>
        <v>0</v>
      </c>
      <c r="K103" s="28">
        <f>+IF('LBO Control'!$H$32=LBO!K86,LBO!K102,0)</f>
        <v>0</v>
      </c>
      <c r="L103" s="28">
        <f>+IF('LBO Control'!$H$32=LBO!L86,LBO!L102,0)</f>
        <v>0</v>
      </c>
      <c r="M103" s="28">
        <f ca="1">+IF('LBO Control'!$H$32=LBO!M86,LBO!M102,0)</f>
        <v>115.0539448980646</v>
      </c>
      <c r="N103" s="28">
        <f>+IF('LBO Control'!$H$32=LBO!N86,LBO!N102,0)</f>
        <v>0</v>
      </c>
    </row>
    <row r="104" spans="3:14" x14ac:dyDescent="0.15">
      <c r="C104" s="81" t="s">
        <v>173</v>
      </c>
      <c r="D104" s="64"/>
      <c r="E104" s="64"/>
      <c r="F104" s="64"/>
      <c r="G104" s="64"/>
      <c r="H104" s="274"/>
      <c r="I104" s="275">
        <f>+IF(+'LBO Control'!$H$32=LBO!I86,IFERROR(XIRR(LBO!$H$103:I103,LBO!$H$86:I86),0),0)</f>
        <v>0</v>
      </c>
      <c r="J104" s="275">
        <f>+IF(+'LBO Control'!$H$32=LBO!J86,IFERROR(XIRR(LBO!$H$103:J103,LBO!$H$86:J86),0),0)</f>
        <v>0</v>
      </c>
      <c r="K104" s="275">
        <f>+IF(+'LBO Control'!$H$32=LBO!K86,IFERROR(XIRR(LBO!$H$103:K103,LBO!$H$86:K86),0),0)</f>
        <v>0</v>
      </c>
      <c r="L104" s="275">
        <f>+IF(+'LBO Control'!$H$32=LBO!L86,IFERROR(XIRR(LBO!$H$103:L103,LBO!$H$86:L86),0),0)</f>
        <v>0</v>
      </c>
      <c r="M104" s="275">
        <f ca="1">+IF(+'LBO Control'!$H$32=LBO!M86,IFERROR(XIRR(LBO!$H$103:M103,LBO!$H$86:M86),0),0)</f>
        <v>9.8688536882400535E-2</v>
      </c>
      <c r="N104" s="275">
        <f>+IF(+'LBO Control'!$H$32=LBO!N86,IFERROR(XIRR(LBO!$H$103:N103,LBO!$H$86:N86),0),0)</f>
        <v>0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4D81D-C26B-475D-A371-0F77E55BEF3A}">
  <dimension ref="B5:T48"/>
  <sheetViews>
    <sheetView showGridLines="0" workbookViewId="0">
      <selection activeCell="B7" sqref="B7"/>
    </sheetView>
  </sheetViews>
  <sheetFormatPr baseColWidth="10" defaultColWidth="8.83203125" defaultRowHeight="14" x14ac:dyDescent="0.15"/>
  <cols>
    <col min="2" max="2" width="20.5" bestFit="1" customWidth="1"/>
    <col min="3" max="3" width="9.5" bestFit="1" customWidth="1"/>
    <col min="5" max="5" width="9.5" bestFit="1" customWidth="1"/>
    <col min="14" max="14" width="15.1640625" bestFit="1" customWidth="1"/>
    <col min="17" max="17" width="1.6640625" customWidth="1"/>
    <col min="18" max="18" width="15.1640625" bestFit="1" customWidth="1"/>
  </cols>
  <sheetData>
    <row r="5" spans="2:6" x14ac:dyDescent="0.15">
      <c r="B5" s="302" t="s">
        <v>278</v>
      </c>
    </row>
    <row r="6" spans="2:6" x14ac:dyDescent="0.15">
      <c r="B6" s="303"/>
      <c r="C6" s="304" t="s">
        <v>67</v>
      </c>
      <c r="D6" s="289"/>
      <c r="E6" s="304" t="s">
        <v>66</v>
      </c>
    </row>
    <row r="7" spans="2:6" x14ac:dyDescent="0.15">
      <c r="B7" s="303"/>
      <c r="C7" s="305">
        <f>+'LBO Control'!H31</f>
        <v>44561</v>
      </c>
      <c r="D7" s="306"/>
      <c r="E7" s="305">
        <f>+'LBO Control'!H32</f>
        <v>46022</v>
      </c>
    </row>
    <row r="8" spans="2:6" ht="20" customHeight="1" x14ac:dyDescent="0.15">
      <c r="B8" s="307" t="s">
        <v>103</v>
      </c>
      <c r="C8" s="310">
        <f>+'LBO Control'!H13</f>
        <v>9.8625000000000007</v>
      </c>
      <c r="D8" s="307"/>
      <c r="E8" s="310">
        <f>+'LBO Control'!H36</f>
        <v>14.243918671875004</v>
      </c>
    </row>
    <row r="9" spans="2:6" ht="20" customHeight="1" x14ac:dyDescent="0.15">
      <c r="B9" s="307" t="s">
        <v>104</v>
      </c>
      <c r="C9" s="309">
        <f>+'LBO Control'!H14</f>
        <v>12</v>
      </c>
      <c r="D9" s="307"/>
      <c r="E9" s="309">
        <f>+'LBO Control'!H35</f>
        <v>12</v>
      </c>
    </row>
    <row r="10" spans="2:6" ht="20" customHeight="1" x14ac:dyDescent="0.15">
      <c r="B10" s="307" t="s">
        <v>119</v>
      </c>
      <c r="C10" s="310">
        <f>+'LBO Control'!H15</f>
        <v>118.35000000000001</v>
      </c>
      <c r="D10" s="307"/>
      <c r="E10" s="310">
        <f>+'LBO Control'!H37</f>
        <v>170.92702406250004</v>
      </c>
    </row>
    <row r="11" spans="2:6" ht="20" customHeight="1" x14ac:dyDescent="0.15">
      <c r="B11" s="307" t="s">
        <v>120</v>
      </c>
      <c r="C11" s="310">
        <f>+'LBO Control'!K13+'LBO Control'!H11-'LBO Control'!H17</f>
        <v>44.3125</v>
      </c>
      <c r="D11" s="307"/>
      <c r="E11" s="310">
        <f ca="1">+'LBO Control'!H38*-1</f>
        <v>55.873079164435431</v>
      </c>
    </row>
    <row r="12" spans="2:6" ht="20" customHeight="1" x14ac:dyDescent="0.15">
      <c r="B12" s="307" t="s">
        <v>121</v>
      </c>
      <c r="C12" s="310">
        <f>+'LBO Control'!H18</f>
        <v>103.35000000000001</v>
      </c>
      <c r="D12" s="307"/>
      <c r="E12" s="310">
        <f ca="1">+'LBO Control'!H39</f>
        <v>115.0539448980646</v>
      </c>
    </row>
    <row r="13" spans="2:6" ht="20" customHeight="1" x14ac:dyDescent="0.15">
      <c r="B13" s="307" t="s">
        <v>174</v>
      </c>
      <c r="C13" s="307"/>
      <c r="D13" s="307"/>
      <c r="E13" s="309">
        <f ca="1">+'LBO Control'!H41</f>
        <v>1.601345124119159</v>
      </c>
    </row>
    <row r="14" spans="2:6" ht="20" customHeight="1" x14ac:dyDescent="0.15">
      <c r="B14" s="307" t="s">
        <v>173</v>
      </c>
      <c r="C14" s="307"/>
      <c r="D14" s="307"/>
      <c r="E14" s="308">
        <f ca="1">+'LBO Control'!H40</f>
        <v>0.1249189567948723</v>
      </c>
    </row>
    <row r="16" spans="2:6" x14ac:dyDescent="0.15">
      <c r="F16" s="8" t="s">
        <v>279</v>
      </c>
    </row>
    <row r="17" spans="5:20" x14ac:dyDescent="0.15">
      <c r="F17" t="str">
        <f>+"Assumes Leverage of "&amp;TEXT(+'LBO Control'!K12,"0.0x")&amp;" and "&amp;TEXT('LBO Control'!H35,"0.0x")&amp;" LTM AV / EBITDA Multiple"</f>
        <v>Assumes Leverage of 5.0x and 12.0x LTM AV / EBITDA Multiple</v>
      </c>
    </row>
    <row r="19" spans="5:20" x14ac:dyDescent="0.15">
      <c r="G19" s="312" t="s">
        <v>280</v>
      </c>
      <c r="H19" s="311"/>
      <c r="I19" s="311"/>
      <c r="J19" s="311"/>
      <c r="K19" s="311"/>
      <c r="L19" s="311"/>
    </row>
    <row r="20" spans="5:20" ht="25" customHeight="1" x14ac:dyDescent="0.15">
      <c r="F20" s="289"/>
      <c r="G20" s="319">
        <v>0.15</v>
      </c>
      <c r="H20" s="319">
        <f>+G20+1%</f>
        <v>0.16</v>
      </c>
      <c r="I20" s="319">
        <f t="shared" ref="I20:L20" si="0">+H20+1%</f>
        <v>0.17</v>
      </c>
      <c r="J20" s="319">
        <f t="shared" si="0"/>
        <v>0.18000000000000002</v>
      </c>
      <c r="K20" s="319">
        <f t="shared" si="0"/>
        <v>0.19000000000000003</v>
      </c>
      <c r="L20" s="319">
        <f t="shared" si="0"/>
        <v>0.20000000000000004</v>
      </c>
    </row>
    <row r="21" spans="5:20" ht="25" customHeight="1" x14ac:dyDescent="0.15">
      <c r="E21" s="336" t="s">
        <v>281</v>
      </c>
      <c r="F21" s="313">
        <v>7.0000000000000007E-2</v>
      </c>
      <c r="G21" s="286"/>
      <c r="H21" s="287"/>
      <c r="I21" s="287"/>
      <c r="J21" s="287"/>
      <c r="K21" s="287"/>
      <c r="L21" s="314"/>
    </row>
    <row r="22" spans="5:20" ht="25" customHeight="1" x14ac:dyDescent="0.15">
      <c r="E22" s="336"/>
      <c r="F22" s="313">
        <f>+F21+1%</f>
        <v>0.08</v>
      </c>
      <c r="G22" s="288"/>
      <c r="H22" s="320"/>
      <c r="I22" s="320"/>
      <c r="J22" s="320"/>
      <c r="K22" s="320"/>
      <c r="L22" s="315"/>
    </row>
    <row r="23" spans="5:20" ht="25" customHeight="1" x14ac:dyDescent="0.15">
      <c r="E23" s="336"/>
      <c r="F23" s="313">
        <f>+F22+1%</f>
        <v>0.09</v>
      </c>
      <c r="G23" s="288"/>
      <c r="H23" s="320"/>
      <c r="I23" s="320"/>
      <c r="J23" s="320"/>
      <c r="K23" s="320"/>
      <c r="L23" s="315"/>
    </row>
    <row r="24" spans="5:20" ht="25" customHeight="1" x14ac:dyDescent="0.15">
      <c r="E24" s="336"/>
      <c r="F24" s="313">
        <f>+F23+1%</f>
        <v>9.9999999999999992E-2</v>
      </c>
      <c r="G24" s="288"/>
      <c r="H24" s="320"/>
      <c r="I24" s="320"/>
      <c r="J24" s="320"/>
      <c r="K24" s="320"/>
      <c r="L24" s="315"/>
    </row>
    <row r="25" spans="5:20" ht="25" customHeight="1" x14ac:dyDescent="0.15">
      <c r="E25" s="336"/>
      <c r="F25" s="313">
        <f>+F24+1%</f>
        <v>0.10999999999999999</v>
      </c>
      <c r="G25" s="316"/>
      <c r="H25" s="317"/>
      <c r="I25" s="317"/>
      <c r="J25" s="317"/>
      <c r="K25" s="317"/>
      <c r="L25" s="318"/>
    </row>
    <row r="27" spans="5:20" x14ac:dyDescent="0.15">
      <c r="N27" s="321" t="s">
        <v>141</v>
      </c>
    </row>
    <row r="29" spans="5:20" x14ac:dyDescent="0.15">
      <c r="N29" s="322" t="s">
        <v>282</v>
      </c>
      <c r="O29" s="323" t="s">
        <v>224</v>
      </c>
      <c r="P29" s="323" t="s">
        <v>235</v>
      </c>
      <c r="Q29" s="303"/>
      <c r="R29" s="322" t="s">
        <v>149</v>
      </c>
      <c r="S29" s="323" t="s">
        <v>224</v>
      </c>
      <c r="T29" s="323" t="s">
        <v>235</v>
      </c>
    </row>
    <row r="30" spans="5:20" ht="20" customHeight="1" x14ac:dyDescent="0.15">
      <c r="N30" s="307" t="str">
        <f>+'LBO Control'!C12</f>
        <v>Sponsor Equity</v>
      </c>
      <c r="O30" s="310">
        <f>+'LBO Control'!D12</f>
        <v>71.848312499999992</v>
      </c>
      <c r="P30" s="329">
        <f>+O30/$O$34</f>
        <v>0.59299959299959293</v>
      </c>
      <c r="Q30" s="303"/>
      <c r="R30" s="307" t="s">
        <v>283</v>
      </c>
      <c r="S30" s="310">
        <f>+'LBO Control'!D18</f>
        <v>103.35000000000001</v>
      </c>
      <c r="T30" s="329">
        <f>+S30/$S$34</f>
        <v>0.85299857162975035</v>
      </c>
    </row>
    <row r="31" spans="5:20" ht="20" customHeight="1" x14ac:dyDescent="0.15">
      <c r="N31" s="307" t="str">
        <f>+'LBO Control'!C13</f>
        <v>1st Lien</v>
      </c>
      <c r="O31" s="310">
        <f>+'LBO Control'!D13</f>
        <v>34.518750000000004</v>
      </c>
      <c r="P31" s="329">
        <f t="shared" ref="P31:P32" si="1">+O31/$O$34</f>
        <v>0.28490028490028491</v>
      </c>
      <c r="Q31" s="303"/>
      <c r="R31" s="307" t="str">
        <f>+'LBO Control'!C19</f>
        <v>Debt Paydown</v>
      </c>
      <c r="S31" s="310">
        <f>+'LBO Control'!D19</f>
        <v>15</v>
      </c>
      <c r="T31" s="329">
        <f t="shared" ref="T31:T33" si="2">+S31/$S$34</f>
        <v>0.12380240517122645</v>
      </c>
    </row>
    <row r="32" spans="5:20" ht="20" customHeight="1" x14ac:dyDescent="0.15">
      <c r="N32" s="307" t="str">
        <f>+'LBO Control'!C14</f>
        <v>2nd Lien</v>
      </c>
      <c r="O32" s="310">
        <f>+'LBO Control'!D14</f>
        <v>14.793750000000001</v>
      </c>
      <c r="P32" s="329">
        <f t="shared" si="1"/>
        <v>0.1221001221001221</v>
      </c>
      <c r="Q32" s="303"/>
      <c r="R32" s="307" t="str">
        <f>+'LBO Control'!J35</f>
        <v>Transaction Fees</v>
      </c>
      <c r="S32" s="310">
        <f>+'LBO Control'!K35</f>
        <v>1.1835000000000002</v>
      </c>
      <c r="T32" s="329">
        <f t="shared" si="2"/>
        <v>9.7680097680097697E-3</v>
      </c>
    </row>
    <row r="33" spans="14:20" ht="20" customHeight="1" x14ac:dyDescent="0.15">
      <c r="N33" s="303"/>
      <c r="O33" s="303"/>
      <c r="P33" s="303"/>
      <c r="Q33" s="303"/>
      <c r="R33" s="327" t="str">
        <f>+'LBO Control'!J38</f>
        <v>Financing Fees</v>
      </c>
      <c r="S33" s="328">
        <f>+'LBO Control'!D20-'LBO Control'!K35</f>
        <v>1.6273125000000006</v>
      </c>
      <c r="T33" s="330">
        <f t="shared" si="2"/>
        <v>1.3431013431013435E-2</v>
      </c>
    </row>
    <row r="34" spans="14:20" ht="20" customHeight="1" x14ac:dyDescent="0.15">
      <c r="N34" s="326" t="s">
        <v>148</v>
      </c>
      <c r="O34" s="325">
        <f>SUM(O30:O33)</f>
        <v>121.16081250000001</v>
      </c>
      <c r="P34" s="324"/>
      <c r="Q34" s="303"/>
      <c r="R34" s="326" t="s">
        <v>148</v>
      </c>
      <c r="S34" s="325">
        <f>SUM(S30:S33)</f>
        <v>121.16081250000001</v>
      </c>
      <c r="T34" s="324"/>
    </row>
    <row r="35" spans="14:20" x14ac:dyDescent="0.15">
      <c r="N35" s="303"/>
      <c r="O35" s="303"/>
      <c r="P35" s="303"/>
      <c r="Q35" s="303"/>
      <c r="R35" s="303"/>
      <c r="S35" s="303"/>
    </row>
    <row r="36" spans="14:20" x14ac:dyDescent="0.15">
      <c r="N36" s="303"/>
      <c r="O36" s="303"/>
      <c r="P36" s="303"/>
      <c r="Q36" s="303"/>
      <c r="R36" s="303"/>
      <c r="S36" s="303"/>
    </row>
    <row r="37" spans="14:20" x14ac:dyDescent="0.15">
      <c r="N37" s="303"/>
      <c r="O37" s="303"/>
      <c r="P37" s="303"/>
      <c r="Q37" s="303"/>
      <c r="R37" s="303"/>
      <c r="S37" s="303"/>
    </row>
    <row r="38" spans="14:20" x14ac:dyDescent="0.15">
      <c r="N38" s="303"/>
      <c r="O38" s="303"/>
      <c r="P38" s="303"/>
      <c r="Q38" s="303"/>
      <c r="R38" s="303"/>
      <c r="S38" s="303"/>
    </row>
    <row r="39" spans="14:20" x14ac:dyDescent="0.15">
      <c r="N39" s="303"/>
      <c r="O39" s="303"/>
      <c r="P39" s="303"/>
      <c r="Q39" s="303"/>
      <c r="R39" s="303"/>
      <c r="S39" s="303"/>
    </row>
    <row r="40" spans="14:20" x14ac:dyDescent="0.15">
      <c r="N40" s="303"/>
      <c r="O40" s="303"/>
      <c r="P40" s="303"/>
      <c r="Q40" s="303"/>
      <c r="R40" s="303"/>
      <c r="S40" s="303"/>
    </row>
    <row r="41" spans="14:20" x14ac:dyDescent="0.15">
      <c r="N41" s="303"/>
      <c r="O41" s="303"/>
      <c r="P41" s="303"/>
      <c r="Q41" s="303"/>
      <c r="R41" s="303"/>
      <c r="S41" s="303"/>
    </row>
    <row r="42" spans="14:20" x14ac:dyDescent="0.15">
      <c r="N42" s="303"/>
      <c r="O42" s="303"/>
      <c r="P42" s="303"/>
      <c r="Q42" s="303"/>
      <c r="R42" s="303"/>
      <c r="S42" s="303"/>
    </row>
    <row r="43" spans="14:20" x14ac:dyDescent="0.15">
      <c r="N43" s="303"/>
      <c r="O43" s="303"/>
      <c r="P43" s="303"/>
      <c r="Q43" s="303"/>
      <c r="R43" s="303"/>
      <c r="S43" s="303"/>
    </row>
    <row r="44" spans="14:20" x14ac:dyDescent="0.15">
      <c r="N44" s="303"/>
      <c r="O44" s="303"/>
      <c r="P44" s="303"/>
      <c r="Q44" s="303"/>
      <c r="R44" s="303"/>
      <c r="S44" s="303"/>
    </row>
    <row r="45" spans="14:20" x14ac:dyDescent="0.15">
      <c r="N45" s="303"/>
      <c r="O45" s="303"/>
      <c r="P45" s="303"/>
      <c r="Q45" s="303"/>
      <c r="R45" s="303"/>
      <c r="S45" s="303"/>
    </row>
    <row r="46" spans="14:20" x14ac:dyDescent="0.15">
      <c r="N46" s="303"/>
      <c r="O46" s="303"/>
      <c r="P46" s="303"/>
      <c r="Q46" s="303"/>
      <c r="R46" s="303"/>
      <c r="S46" s="303"/>
    </row>
    <row r="47" spans="14:20" x14ac:dyDescent="0.15">
      <c r="N47" s="303"/>
      <c r="O47" s="303"/>
      <c r="P47" s="303"/>
      <c r="Q47" s="303"/>
      <c r="R47" s="303"/>
      <c r="S47" s="303"/>
    </row>
    <row r="48" spans="14:20" x14ac:dyDescent="0.15">
      <c r="N48" s="303"/>
      <c r="O48" s="303"/>
      <c r="P48" s="303"/>
      <c r="Q48" s="303"/>
      <c r="R48" s="303"/>
      <c r="S48" s="303"/>
    </row>
  </sheetData>
  <mergeCells count="1">
    <mergeCell ref="E21:E25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C3814-110B-4FBF-BE0A-1D2C887C7EB4}">
  <dimension ref="A2:M35"/>
  <sheetViews>
    <sheetView showGridLines="0" view="pageBreakPreview" zoomScale="85" zoomScaleNormal="100" zoomScaleSheetLayoutView="85" workbookViewId="0">
      <selection activeCell="G32" sqref="G32"/>
    </sheetView>
  </sheetViews>
  <sheetFormatPr baseColWidth="10" defaultColWidth="9" defaultRowHeight="13" x14ac:dyDescent="0.15"/>
  <cols>
    <col min="1" max="1" width="67" style="204" bestFit="1" customWidth="1"/>
    <col min="2" max="2" width="8" style="204" customWidth="1"/>
    <col min="3" max="3" width="10.6640625" style="204" bestFit="1" customWidth="1"/>
    <col min="4" max="4" width="8" style="204" customWidth="1"/>
    <col min="5" max="5" width="20.6640625" style="204" bestFit="1" customWidth="1"/>
    <col min="6" max="6" width="9" style="204"/>
    <col min="7" max="11" width="9.33203125" style="204" customWidth="1"/>
    <col min="12" max="12" width="13.1640625" style="204" bestFit="1" customWidth="1"/>
    <col min="13" max="13" width="13.5" style="204" bestFit="1" customWidth="1"/>
    <col min="14" max="16384" width="9" style="204"/>
  </cols>
  <sheetData>
    <row r="2" spans="1:13" ht="20" customHeight="1" x14ac:dyDescent="0.2">
      <c r="A2" s="203" t="s">
        <v>189</v>
      </c>
    </row>
    <row r="3" spans="1:13" x14ac:dyDescent="0.15">
      <c r="C3" s="205"/>
    </row>
    <row r="4" spans="1:13" x14ac:dyDescent="0.15">
      <c r="A4" s="206" t="s">
        <v>190</v>
      </c>
      <c r="B4" s="207"/>
      <c r="C4" s="207"/>
      <c r="E4" s="206" t="s">
        <v>191</v>
      </c>
      <c r="F4" s="207"/>
      <c r="G4" s="207"/>
      <c r="H4" s="207"/>
      <c r="I4" s="207"/>
      <c r="J4" s="207"/>
      <c r="K4" s="207"/>
      <c r="L4" s="207"/>
      <c r="M4" s="207"/>
    </row>
    <row r="6" spans="1:13" x14ac:dyDescent="0.15">
      <c r="A6" s="208" t="s">
        <v>192</v>
      </c>
      <c r="B6" s="209"/>
      <c r="C6" s="209"/>
      <c r="E6" s="208" t="s">
        <v>193</v>
      </c>
      <c r="F6" s="209"/>
      <c r="G6" s="210" t="s">
        <v>194</v>
      </c>
      <c r="H6" s="210" t="s">
        <v>195</v>
      </c>
      <c r="I6" s="210" t="s">
        <v>196</v>
      </c>
      <c r="J6" s="210" t="s">
        <v>197</v>
      </c>
      <c r="K6" s="210" t="s">
        <v>29</v>
      </c>
      <c r="L6" s="211" t="s">
        <v>198</v>
      </c>
      <c r="M6" s="210" t="s">
        <v>199</v>
      </c>
    </row>
    <row r="8" spans="1:13" ht="14" x14ac:dyDescent="0.15">
      <c r="A8" s="204" t="s">
        <v>200</v>
      </c>
      <c r="C8" s="212">
        <v>6.9424E-2</v>
      </c>
      <c r="E8" s="204" t="s">
        <v>201</v>
      </c>
      <c r="G8" s="213">
        <v>0.74</v>
      </c>
      <c r="H8" s="214">
        <v>9623</v>
      </c>
      <c r="I8" s="214">
        <v>1564</v>
      </c>
      <c r="J8" s="215">
        <f>+I8/H8</f>
        <v>0.16252727839551076</v>
      </c>
      <c r="K8" s="216">
        <v>0.15</v>
      </c>
      <c r="L8" s="332">
        <f t="shared" ref="L8:L14" si="0">+(G8/(1+(J8*(1-K8))))</f>
        <v>0.65017895621051092</v>
      </c>
      <c r="M8" s="217">
        <v>1</v>
      </c>
    </row>
    <row r="9" spans="1:13" ht="14" x14ac:dyDescent="0.15">
      <c r="E9" s="204" t="s">
        <v>202</v>
      </c>
      <c r="G9" s="213">
        <v>0.78</v>
      </c>
      <c r="H9" s="214">
        <v>9191</v>
      </c>
      <c r="I9" s="214">
        <v>719</v>
      </c>
      <c r="J9" s="215">
        <f t="shared" ref="J9:J14" si="1">+I9/H9</f>
        <v>7.8228701991078231E-2</v>
      </c>
      <c r="K9" s="216">
        <v>0.21</v>
      </c>
      <c r="L9" s="332">
        <f t="shared" si="0"/>
        <v>0.73460115319074382</v>
      </c>
      <c r="M9" s="217">
        <v>1</v>
      </c>
    </row>
    <row r="10" spans="1:13" ht="14" x14ac:dyDescent="0.15">
      <c r="A10" s="204" t="s">
        <v>203</v>
      </c>
      <c r="C10" s="212">
        <v>0.06</v>
      </c>
      <c r="E10" s="204" t="s">
        <v>204</v>
      </c>
      <c r="G10" s="213">
        <v>0.71</v>
      </c>
      <c r="H10" s="214">
        <v>58719</v>
      </c>
      <c r="I10" s="214">
        <v>2675</v>
      </c>
      <c r="J10" s="215">
        <f t="shared" si="1"/>
        <v>4.5555952928353682E-2</v>
      </c>
      <c r="K10" s="216">
        <v>0.21</v>
      </c>
      <c r="L10" s="332">
        <f t="shared" si="0"/>
        <v>0.68533532788940066</v>
      </c>
      <c r="M10" s="217">
        <v>1</v>
      </c>
    </row>
    <row r="11" spans="1:13" ht="14" x14ac:dyDescent="0.15">
      <c r="A11" s="204" t="s">
        <v>205</v>
      </c>
      <c r="C11" s="212">
        <v>5.2200000000000003E-2</v>
      </c>
      <c r="E11" s="204" t="s">
        <v>206</v>
      </c>
      <c r="G11" s="213">
        <v>0.71</v>
      </c>
      <c r="H11" s="214">
        <v>15217</v>
      </c>
      <c r="I11" s="214">
        <v>177</v>
      </c>
      <c r="J11" s="215">
        <f t="shared" si="1"/>
        <v>1.1631727672997305E-2</v>
      </c>
      <c r="K11" s="216">
        <v>0.21</v>
      </c>
      <c r="L11" s="332">
        <f t="shared" si="0"/>
        <v>0.70353516969322438</v>
      </c>
      <c r="M11" s="217">
        <v>1</v>
      </c>
    </row>
    <row r="12" spans="1:13" ht="14" x14ac:dyDescent="0.15">
      <c r="E12" s="204" t="s">
        <v>207</v>
      </c>
      <c r="G12" s="213">
        <v>0.91</v>
      </c>
      <c r="H12" s="214">
        <v>1568</v>
      </c>
      <c r="I12" s="214">
        <v>40</v>
      </c>
      <c r="J12" s="215">
        <f t="shared" si="1"/>
        <v>2.5510204081632654E-2</v>
      </c>
      <c r="K12" s="216">
        <v>0.21</v>
      </c>
      <c r="L12" s="332">
        <f t="shared" si="0"/>
        <v>0.89202300575143789</v>
      </c>
      <c r="M12" s="217">
        <v>1</v>
      </c>
    </row>
    <row r="13" spans="1:13" ht="14" x14ac:dyDescent="0.15">
      <c r="A13" s="204" t="s">
        <v>208</v>
      </c>
      <c r="C13" s="218">
        <f>+F18</f>
        <v>0.74914528339319009</v>
      </c>
      <c r="E13" s="204" t="s">
        <v>209</v>
      </c>
      <c r="G13" s="213">
        <v>0.91</v>
      </c>
      <c r="H13" s="214">
        <v>9989</v>
      </c>
      <c r="I13" s="214">
        <v>5</v>
      </c>
      <c r="J13" s="215">
        <f t="shared" si="1"/>
        <v>5.0055060566623288E-4</v>
      </c>
      <c r="K13" s="216">
        <v>0.19</v>
      </c>
      <c r="L13" s="332">
        <f t="shared" si="0"/>
        <v>0.90963119367960743</v>
      </c>
      <c r="M13" s="217">
        <v>1</v>
      </c>
    </row>
    <row r="14" spans="1:13" ht="14" x14ac:dyDescent="0.15">
      <c r="E14" s="204" t="s">
        <v>210</v>
      </c>
      <c r="G14" s="213">
        <v>0.89</v>
      </c>
      <c r="H14" s="214">
        <v>333</v>
      </c>
      <c r="I14" s="214">
        <v>7</v>
      </c>
      <c r="J14" s="215">
        <f t="shared" si="1"/>
        <v>2.1021021021021023E-2</v>
      </c>
      <c r="K14" s="216">
        <v>0.21</v>
      </c>
      <c r="L14" s="332">
        <f t="shared" si="0"/>
        <v>0.87546155436741202</v>
      </c>
      <c r="M14" s="217">
        <v>1</v>
      </c>
    </row>
    <row r="15" spans="1:13" x14ac:dyDescent="0.15">
      <c r="A15" s="219" t="s">
        <v>211</v>
      </c>
      <c r="C15" s="220">
        <f>+C8+C10*C13+C11</f>
        <v>0.16657271700359141</v>
      </c>
      <c r="L15" s="332"/>
    </row>
    <row r="16" spans="1:13" ht="14" x14ac:dyDescent="0.15">
      <c r="E16" s="221" t="s">
        <v>212</v>
      </c>
      <c r="F16" s="222"/>
      <c r="G16" s="222"/>
      <c r="H16" s="222"/>
      <c r="I16" s="222"/>
      <c r="J16" s="223">
        <f>+AVERAGE(J8:J14)</f>
        <v>4.9282205242322845E-2</v>
      </c>
      <c r="K16" s="223">
        <f>+AVERAGE(K8:K14)</f>
        <v>0.19857142857142857</v>
      </c>
      <c r="L16" s="333">
        <f>+AVERAGEIFS(L8:L14,M8:M14,1)</f>
        <v>0.77868090868319106</v>
      </c>
      <c r="M16" s="222"/>
    </row>
    <row r="17" spans="1:6" ht="14" thickBot="1" x14ac:dyDescent="0.2">
      <c r="A17" s="208" t="s">
        <v>213</v>
      </c>
      <c r="B17" s="209"/>
      <c r="C17" s="209"/>
    </row>
    <row r="18" spans="1:6" ht="14" thickBot="1" x14ac:dyDescent="0.2">
      <c r="E18" s="224" t="s">
        <v>194</v>
      </c>
      <c r="F18" s="225">
        <f>+L16/(1+(J16*(1-C25)))</f>
        <v>0.74914528339319009</v>
      </c>
    </row>
    <row r="19" spans="1:6" x14ac:dyDescent="0.15">
      <c r="A19" s="204" t="s">
        <v>214</v>
      </c>
      <c r="C19" s="226">
        <f>+C8</f>
        <v>6.9424E-2</v>
      </c>
    </row>
    <row r="21" spans="1:6" x14ac:dyDescent="0.15">
      <c r="A21" s="204" t="s">
        <v>215</v>
      </c>
      <c r="C21" s="212">
        <v>0.05</v>
      </c>
    </row>
    <row r="23" spans="1:6" x14ac:dyDescent="0.15">
      <c r="A23" s="204" t="s">
        <v>216</v>
      </c>
      <c r="C23" s="227">
        <f>+C21+C19</f>
        <v>0.119424</v>
      </c>
    </row>
    <row r="25" spans="1:6" x14ac:dyDescent="0.15">
      <c r="A25" s="204" t="s">
        <v>217</v>
      </c>
      <c r="C25" s="212">
        <v>0.2</v>
      </c>
    </row>
    <row r="27" spans="1:6" x14ac:dyDescent="0.15">
      <c r="A27" s="219" t="s">
        <v>218</v>
      </c>
      <c r="B27" s="219"/>
      <c r="C27" s="228">
        <f>+(1-C25)*C23</f>
        <v>9.5539200000000005E-2</v>
      </c>
    </row>
    <row r="29" spans="1:6" x14ac:dyDescent="0.15">
      <c r="A29" s="208" t="s">
        <v>219</v>
      </c>
      <c r="B29" s="209"/>
      <c r="C29" s="209"/>
    </row>
    <row r="31" spans="1:6" x14ac:dyDescent="0.15">
      <c r="A31" s="204" t="s">
        <v>220</v>
      </c>
      <c r="C31" s="334">
        <v>4.9279999999999997E-2</v>
      </c>
    </row>
    <row r="32" spans="1:6" x14ac:dyDescent="0.15">
      <c r="A32" s="204" t="s">
        <v>221</v>
      </c>
      <c r="C32" s="220">
        <f>1/(1+(1/C31))</f>
        <v>4.6965538273863981E-2</v>
      </c>
    </row>
    <row r="33" spans="1:3" x14ac:dyDescent="0.15">
      <c r="A33" s="204" t="s">
        <v>222</v>
      </c>
      <c r="C33" s="220">
        <f>100%-C32</f>
        <v>0.95303446172613604</v>
      </c>
    </row>
    <row r="35" spans="1:3" x14ac:dyDescent="0.15">
      <c r="A35" s="229" t="s">
        <v>69</v>
      </c>
      <c r="B35" s="230"/>
      <c r="C35" s="231">
        <f>+C15*C33+C27*C32</f>
        <v>0.16323658964203205</v>
      </c>
    </row>
  </sheetData>
  <pageMargins left="0.7" right="0.7" top="0.75" bottom="0.75" header="0.3" footer="0.3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8E995-10A1-4DDD-9ECD-F8F8A487B83A}">
  <dimension ref="A1"/>
  <sheetViews>
    <sheetView showGridLines="0" view="pageBreakPreview" topLeftCell="XDJ1" zoomScale="60" zoomScaleNormal="100" workbookViewId="0">
      <selection activeCell="XFD1" sqref="XFD1"/>
    </sheetView>
  </sheetViews>
  <sheetFormatPr baseColWidth="10" defaultColWidth="8.83203125" defaultRowHeight="14" x14ac:dyDescent="0.1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9F534-1102-491D-B6CC-E740579C97BE}">
  <dimension ref="A1:V91"/>
  <sheetViews>
    <sheetView showGridLines="0" tabSelected="1" zoomScaleNormal="70" workbookViewId="0">
      <pane xSplit="5" ySplit="9" topLeftCell="F48" activePane="bottomRight" state="frozen"/>
      <selection pane="topRight" activeCell="F1" sqref="F1"/>
      <selection pane="bottomLeft" activeCell="A10" sqref="A10"/>
      <selection pane="bottomRight" activeCell="T74" sqref="T74"/>
    </sheetView>
  </sheetViews>
  <sheetFormatPr baseColWidth="10" defaultColWidth="8.83203125" defaultRowHeight="14" x14ac:dyDescent="0.15"/>
  <cols>
    <col min="1" max="2" width="1.1640625" customWidth="1"/>
    <col min="3" max="3" width="34.5" bestFit="1" customWidth="1"/>
    <col min="4" max="4" width="1.33203125" style="1" customWidth="1"/>
    <col min="5" max="5" width="9" style="1"/>
  </cols>
  <sheetData>
    <row r="1" spans="1:22" x14ac:dyDescent="0.15">
      <c r="A1" s="3"/>
      <c r="B1" s="3"/>
      <c r="C1" s="3"/>
      <c r="D1" s="4"/>
      <c r="E1" s="4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x14ac:dyDescent="0.15">
      <c r="A2" s="3"/>
      <c r="B2" s="3"/>
      <c r="C2" s="3"/>
      <c r="D2" s="4"/>
      <c r="E2" s="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2" x14ac:dyDescent="0.15">
      <c r="A3" s="3"/>
      <c r="B3" s="3"/>
      <c r="C3" s="3" t="s">
        <v>6</v>
      </c>
      <c r="D3" s="4"/>
      <c r="E3" s="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2" x14ac:dyDescent="0.15">
      <c r="A4" s="3"/>
      <c r="B4" s="3"/>
      <c r="C4" s="24">
        <f>+Model!C4</f>
        <v>44256</v>
      </c>
      <c r="D4" s="4"/>
      <c r="E4" s="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pans="1:22" x14ac:dyDescent="0.15">
      <c r="A5" s="3"/>
      <c r="B5" s="3"/>
      <c r="C5" s="3" t="str">
        <f>+Model!C5</f>
        <v>$ MM, unless otherwise stated</v>
      </c>
      <c r="D5" s="4"/>
      <c r="E5" s="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</row>
    <row r="6" spans="1:22" x14ac:dyDescent="0.15">
      <c r="A6" s="3"/>
      <c r="B6" s="3"/>
      <c r="C6" s="3"/>
      <c r="D6" s="4"/>
      <c r="E6" s="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x14ac:dyDescent="0.15">
      <c r="C7" s="5" t="s">
        <v>7</v>
      </c>
      <c r="K7" s="6">
        <v>0</v>
      </c>
      <c r="M7" s="7">
        <f>+K7+1</f>
        <v>1</v>
      </c>
      <c r="N7" s="7">
        <f>+M7+1</f>
        <v>2</v>
      </c>
      <c r="O7" s="7">
        <f t="shared" ref="O7:V7" si="0">+N7+1</f>
        <v>3</v>
      </c>
      <c r="P7" s="7">
        <f t="shared" si="0"/>
        <v>4</v>
      </c>
      <c r="Q7" s="7">
        <f t="shared" si="0"/>
        <v>5</v>
      </c>
      <c r="R7" s="7">
        <f t="shared" si="0"/>
        <v>6</v>
      </c>
      <c r="S7" s="7">
        <f t="shared" si="0"/>
        <v>7</v>
      </c>
      <c r="T7" s="7">
        <f t="shared" si="0"/>
        <v>8</v>
      </c>
      <c r="U7" s="7">
        <f t="shared" si="0"/>
        <v>9</v>
      </c>
      <c r="V7" s="7">
        <f t="shared" si="0"/>
        <v>10</v>
      </c>
    </row>
    <row r="8" spans="1:22" x14ac:dyDescent="0.15">
      <c r="C8" s="5" t="s">
        <v>8</v>
      </c>
      <c r="K8" s="6">
        <v>0</v>
      </c>
      <c r="M8" s="7">
        <f>+K8+0.5</f>
        <v>0.5</v>
      </c>
      <c r="N8" s="7">
        <f>+M8+1</f>
        <v>1.5</v>
      </c>
      <c r="O8" s="7">
        <f t="shared" ref="O8:V8" si="1">+N8+1</f>
        <v>2.5</v>
      </c>
      <c r="P8" s="7">
        <f t="shared" si="1"/>
        <v>3.5</v>
      </c>
      <c r="Q8" s="7">
        <f t="shared" si="1"/>
        <v>4.5</v>
      </c>
      <c r="R8" s="7">
        <f t="shared" si="1"/>
        <v>5.5</v>
      </c>
      <c r="S8" s="7">
        <f t="shared" si="1"/>
        <v>6.5</v>
      </c>
      <c r="T8" s="7">
        <f t="shared" si="1"/>
        <v>7.5</v>
      </c>
      <c r="U8" s="7">
        <f t="shared" si="1"/>
        <v>8.5</v>
      </c>
      <c r="V8" s="7">
        <f t="shared" si="1"/>
        <v>9.5</v>
      </c>
    </row>
    <row r="9" spans="1:22" x14ac:dyDescent="0.15">
      <c r="C9" s="5" t="s">
        <v>9</v>
      </c>
      <c r="K9" s="25">
        <f ca="1">+Cover!D14</f>
        <v>2024</v>
      </c>
      <c r="M9" s="27">
        <f ca="1">+K9+1</f>
        <v>2025</v>
      </c>
      <c r="N9" s="27">
        <f ca="1">+M9+1</f>
        <v>2026</v>
      </c>
      <c r="O9" s="27">
        <f t="shared" ref="O9:V9" ca="1" si="2">+N9+1</f>
        <v>2027</v>
      </c>
      <c r="P9" s="27">
        <f t="shared" ca="1" si="2"/>
        <v>2028</v>
      </c>
      <c r="Q9" s="27">
        <f t="shared" ca="1" si="2"/>
        <v>2029</v>
      </c>
      <c r="R9" s="27">
        <f t="shared" ca="1" si="2"/>
        <v>2030</v>
      </c>
      <c r="S9" s="27">
        <f t="shared" ca="1" si="2"/>
        <v>2031</v>
      </c>
      <c r="T9" s="27">
        <f t="shared" ca="1" si="2"/>
        <v>2032</v>
      </c>
      <c r="U9" s="27">
        <f t="shared" ca="1" si="2"/>
        <v>2033</v>
      </c>
      <c r="V9" s="27">
        <f t="shared" ca="1" si="2"/>
        <v>2034</v>
      </c>
    </row>
    <row r="11" spans="1:22" x14ac:dyDescent="0.15">
      <c r="C11" s="5" t="s">
        <v>10</v>
      </c>
      <c r="E11" s="2">
        <v>1</v>
      </c>
    </row>
    <row r="13" spans="1:22" x14ac:dyDescent="0.15">
      <c r="C13" s="8" t="s">
        <v>3</v>
      </c>
    </row>
    <row r="15" spans="1:22" x14ac:dyDescent="0.15">
      <c r="C15" s="11" t="s">
        <v>11</v>
      </c>
      <c r="D15" s="12"/>
      <c r="E15" s="12"/>
      <c r="F15" s="13"/>
      <c r="G15" s="13"/>
      <c r="H15" s="13"/>
      <c r="I15" s="13"/>
      <c r="J15" s="13"/>
      <c r="K15" s="19">
        <v>58</v>
      </c>
      <c r="L15" s="13"/>
      <c r="M15" s="20">
        <f>+K15*(1+M160)</f>
        <v>58</v>
      </c>
      <c r="N15" s="20">
        <f>+M15*(1+N16)</f>
        <v>63.800000000000004</v>
      </c>
      <c r="O15" s="20">
        <f t="shared" ref="O15:V15" si="3">+N15*(1+O16)</f>
        <v>70.180000000000007</v>
      </c>
      <c r="P15" s="20">
        <f t="shared" si="3"/>
        <v>77.198000000000008</v>
      </c>
      <c r="Q15" s="20">
        <f t="shared" si="3"/>
        <v>84.917800000000014</v>
      </c>
      <c r="R15" s="20">
        <f t="shared" si="3"/>
        <v>93.40958000000002</v>
      </c>
      <c r="S15" s="20">
        <f t="shared" si="3"/>
        <v>102.75053800000003</v>
      </c>
      <c r="T15" s="20">
        <f t="shared" si="3"/>
        <v>113.02559180000004</v>
      </c>
      <c r="U15" s="20">
        <f t="shared" si="3"/>
        <v>124.32815098000006</v>
      </c>
      <c r="V15" s="20">
        <f t="shared" si="3"/>
        <v>136.76096607800008</v>
      </c>
    </row>
    <row r="16" spans="1:22" x14ac:dyDescent="0.15">
      <c r="C16" s="14" t="s">
        <v>12</v>
      </c>
      <c r="D16" s="12"/>
      <c r="E16" s="15">
        <f>+$E$11</f>
        <v>1</v>
      </c>
      <c r="F16" s="13"/>
      <c r="G16" s="13"/>
      <c r="H16" s="13"/>
      <c r="I16" s="13"/>
      <c r="J16" s="13"/>
      <c r="K16" s="13"/>
      <c r="L16" s="13"/>
      <c r="M16" s="18">
        <f>+CHOOSE($E16,M17,M18,M19)</f>
        <v>0.1</v>
      </c>
      <c r="N16" s="18">
        <f t="shared" ref="N16:V16" si="4">+CHOOSE($E16,N17,N18,N19)</f>
        <v>0.1</v>
      </c>
      <c r="O16" s="18">
        <f t="shared" si="4"/>
        <v>0.1</v>
      </c>
      <c r="P16" s="18">
        <f t="shared" si="4"/>
        <v>0.1</v>
      </c>
      <c r="Q16" s="18">
        <f t="shared" si="4"/>
        <v>0.1</v>
      </c>
      <c r="R16" s="18">
        <f t="shared" si="4"/>
        <v>0.1</v>
      </c>
      <c r="S16" s="18">
        <f t="shared" si="4"/>
        <v>0.1</v>
      </c>
      <c r="T16" s="18">
        <f t="shared" si="4"/>
        <v>0.1</v>
      </c>
      <c r="U16" s="18">
        <f t="shared" si="4"/>
        <v>0.1</v>
      </c>
      <c r="V16" s="18">
        <f t="shared" si="4"/>
        <v>0.1</v>
      </c>
    </row>
    <row r="17" spans="3:22" x14ac:dyDescent="0.15">
      <c r="C17" s="16" t="s">
        <v>13</v>
      </c>
      <c r="D17" s="12"/>
      <c r="E17" s="12"/>
      <c r="F17" s="13"/>
      <c r="G17" s="13"/>
      <c r="H17" s="13"/>
      <c r="I17" s="13"/>
      <c r="J17" s="13"/>
      <c r="K17" s="13"/>
      <c r="L17" s="13"/>
      <c r="M17" s="17">
        <v>0.1</v>
      </c>
      <c r="N17" s="17">
        <v>0.1</v>
      </c>
      <c r="O17" s="17">
        <v>0.1</v>
      </c>
      <c r="P17" s="17">
        <v>0.1</v>
      </c>
      <c r="Q17" s="17">
        <v>0.1</v>
      </c>
      <c r="R17" s="17">
        <v>0.1</v>
      </c>
      <c r="S17" s="17">
        <v>0.1</v>
      </c>
      <c r="T17" s="17">
        <v>0.1</v>
      </c>
      <c r="U17" s="17">
        <v>0.1</v>
      </c>
      <c r="V17" s="17">
        <v>0.1</v>
      </c>
    </row>
    <row r="18" spans="3:22" x14ac:dyDescent="0.15">
      <c r="C18" s="16" t="s">
        <v>16</v>
      </c>
      <c r="D18" s="12"/>
      <c r="E18" s="12"/>
      <c r="F18" s="13"/>
      <c r="G18" s="13"/>
      <c r="H18" s="13"/>
      <c r="I18" s="13"/>
      <c r="J18" s="13"/>
      <c r="K18" s="13"/>
      <c r="L18" s="13"/>
      <c r="M18" s="17">
        <v>0.15</v>
      </c>
      <c r="N18" s="17">
        <v>0.15</v>
      </c>
      <c r="O18" s="17">
        <v>0.15</v>
      </c>
      <c r="P18" s="17">
        <v>0.15</v>
      </c>
      <c r="Q18" s="17">
        <v>0.15</v>
      </c>
      <c r="R18" s="17">
        <v>0.15</v>
      </c>
      <c r="S18" s="17">
        <v>0.15</v>
      </c>
      <c r="T18" s="17">
        <v>0.15</v>
      </c>
      <c r="U18" s="17">
        <v>0.15</v>
      </c>
      <c r="V18" s="17">
        <v>0.15</v>
      </c>
    </row>
    <row r="19" spans="3:22" x14ac:dyDescent="0.15">
      <c r="C19" s="16" t="s">
        <v>15</v>
      </c>
      <c r="D19" s="12"/>
      <c r="E19" s="12"/>
      <c r="F19" s="13"/>
      <c r="G19" s="13"/>
      <c r="H19" s="13"/>
      <c r="I19" s="13"/>
      <c r="J19" s="13"/>
      <c r="K19" s="13"/>
      <c r="L19" s="13"/>
      <c r="M19" s="17">
        <v>0.05</v>
      </c>
      <c r="N19" s="17">
        <v>0.05</v>
      </c>
      <c r="O19" s="17">
        <v>0.05</v>
      </c>
      <c r="P19" s="17">
        <v>0.05</v>
      </c>
      <c r="Q19" s="17">
        <v>0.05</v>
      </c>
      <c r="R19" s="17">
        <v>0.05</v>
      </c>
      <c r="S19" s="17">
        <v>0.05</v>
      </c>
      <c r="T19" s="17">
        <v>0.05</v>
      </c>
      <c r="U19" s="17">
        <v>0.05</v>
      </c>
      <c r="V19" s="17">
        <v>0.05</v>
      </c>
    </row>
    <row r="20" spans="3:22" x14ac:dyDescent="0.15">
      <c r="C20" s="13"/>
      <c r="D20" s="12"/>
      <c r="E20" s="12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</row>
    <row r="21" spans="3:22" x14ac:dyDescent="0.15">
      <c r="C21" s="11" t="s">
        <v>17</v>
      </c>
      <c r="D21" s="12"/>
      <c r="E21" s="12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</row>
    <row r="22" spans="3:22" x14ac:dyDescent="0.15">
      <c r="C22" s="14" t="s">
        <v>18</v>
      </c>
      <c r="D22" s="12"/>
      <c r="E22" s="15">
        <f>+$E$11</f>
        <v>1</v>
      </c>
      <c r="F22" s="13"/>
      <c r="G22" s="13"/>
      <c r="H22" s="13"/>
      <c r="I22" s="13"/>
      <c r="J22" s="13"/>
      <c r="K22" s="13"/>
      <c r="L22" s="13"/>
      <c r="M22" s="18">
        <f>+CHOOSE($E22,M23,M24,M25)</f>
        <v>0.1</v>
      </c>
      <c r="N22" s="18">
        <f t="shared" ref="N22" si="5">+CHOOSE($E22,N23,N24,N25)</f>
        <v>0.1</v>
      </c>
      <c r="O22" s="18">
        <f t="shared" ref="O22" si="6">+CHOOSE($E22,O23,O24,O25)</f>
        <v>0.1</v>
      </c>
      <c r="P22" s="18">
        <f t="shared" ref="P22" si="7">+CHOOSE($E22,P23,P24,P25)</f>
        <v>0.1</v>
      </c>
      <c r="Q22" s="18">
        <f t="shared" ref="Q22" si="8">+CHOOSE($E22,Q23,Q24,Q25)</f>
        <v>0.1</v>
      </c>
      <c r="R22" s="18">
        <f t="shared" ref="R22" si="9">+CHOOSE($E22,R23,R24,R25)</f>
        <v>0.1</v>
      </c>
      <c r="S22" s="18">
        <f t="shared" ref="S22" si="10">+CHOOSE($E22,S23,S24,S25)</f>
        <v>0.1</v>
      </c>
      <c r="T22" s="18">
        <f t="shared" ref="T22" si="11">+CHOOSE($E22,T23,T24,T25)</f>
        <v>0.1</v>
      </c>
      <c r="U22" s="18">
        <f t="shared" ref="U22" si="12">+CHOOSE($E22,U23,U24,U25)</f>
        <v>0.1</v>
      </c>
      <c r="V22" s="18">
        <f t="shared" ref="V22" si="13">+CHOOSE($E22,V23,V24,V25)</f>
        <v>0.1</v>
      </c>
    </row>
    <row r="23" spans="3:22" x14ac:dyDescent="0.15">
      <c r="C23" s="16" t="s">
        <v>13</v>
      </c>
      <c r="D23" s="12"/>
      <c r="E23" s="12"/>
      <c r="F23" s="13"/>
      <c r="G23" s="13"/>
      <c r="H23" s="13"/>
      <c r="I23" s="13"/>
      <c r="J23" s="13"/>
      <c r="K23" s="13"/>
      <c r="L23" s="13"/>
      <c r="M23" s="17">
        <v>0.1</v>
      </c>
      <c r="N23" s="17">
        <v>0.1</v>
      </c>
      <c r="O23" s="17">
        <v>0.1</v>
      </c>
      <c r="P23" s="17">
        <v>0.1</v>
      </c>
      <c r="Q23" s="17">
        <v>0.1</v>
      </c>
      <c r="R23" s="17">
        <v>0.1</v>
      </c>
      <c r="S23" s="17">
        <v>0.1</v>
      </c>
      <c r="T23" s="17">
        <v>0.1</v>
      </c>
      <c r="U23" s="17">
        <v>0.1</v>
      </c>
      <c r="V23" s="17">
        <v>0.1</v>
      </c>
    </row>
    <row r="24" spans="3:22" x14ac:dyDescent="0.15">
      <c r="C24" s="16" t="s">
        <v>14</v>
      </c>
      <c r="D24" s="12"/>
      <c r="E24" s="12"/>
      <c r="F24" s="13"/>
      <c r="G24" s="13"/>
      <c r="H24" s="13"/>
      <c r="I24" s="13"/>
      <c r="J24" s="13"/>
      <c r="K24" s="13"/>
      <c r="L24" s="13"/>
      <c r="M24" s="17">
        <v>0.15</v>
      </c>
      <c r="N24" s="17">
        <v>0.15</v>
      </c>
      <c r="O24" s="17">
        <v>0.15</v>
      </c>
      <c r="P24" s="17">
        <v>0.15</v>
      </c>
      <c r="Q24" s="17">
        <v>0.15</v>
      </c>
      <c r="R24" s="17">
        <v>0.15</v>
      </c>
      <c r="S24" s="17">
        <v>0.15</v>
      </c>
      <c r="T24" s="17">
        <v>0.15</v>
      </c>
      <c r="U24" s="17">
        <v>0.15</v>
      </c>
      <c r="V24" s="17">
        <v>0.15</v>
      </c>
    </row>
    <row r="25" spans="3:22" x14ac:dyDescent="0.15">
      <c r="C25" s="16" t="s">
        <v>19</v>
      </c>
      <c r="D25" s="12"/>
      <c r="E25" s="12"/>
      <c r="F25" s="13"/>
      <c r="G25" s="13"/>
      <c r="H25" s="13"/>
      <c r="I25" s="13"/>
      <c r="J25" s="13"/>
      <c r="K25" s="13"/>
      <c r="L25" s="13"/>
      <c r="M25" s="17">
        <v>0.05</v>
      </c>
      <c r="N25" s="17">
        <v>0.05</v>
      </c>
      <c r="O25" s="17">
        <v>0.05</v>
      </c>
      <c r="P25" s="17">
        <v>0.05</v>
      </c>
      <c r="Q25" s="17">
        <v>0.05</v>
      </c>
      <c r="R25" s="17">
        <v>0.05</v>
      </c>
      <c r="S25" s="17">
        <v>0.05</v>
      </c>
      <c r="T25" s="17">
        <v>0.05</v>
      </c>
      <c r="U25" s="17">
        <v>0.05</v>
      </c>
      <c r="V25" s="17">
        <v>0.05</v>
      </c>
    </row>
    <row r="26" spans="3:22" x14ac:dyDescent="0.15">
      <c r="C26" s="13"/>
      <c r="D26" s="12"/>
      <c r="E26" s="12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</row>
    <row r="27" spans="3:22" x14ac:dyDescent="0.15">
      <c r="C27" s="14" t="s">
        <v>20</v>
      </c>
      <c r="D27" s="12"/>
      <c r="E27" s="15">
        <f>+$E$11</f>
        <v>1</v>
      </c>
      <c r="F27" s="13"/>
      <c r="G27" s="13"/>
      <c r="H27" s="13"/>
      <c r="I27" s="13"/>
      <c r="J27" s="13"/>
      <c r="K27" s="13"/>
      <c r="L27" s="13"/>
      <c r="M27" s="18">
        <f>+CHOOSE($E27,M28,M29,M30)</f>
        <v>0.1</v>
      </c>
      <c r="N27" s="18">
        <f t="shared" ref="N27" si="14">+CHOOSE($E27,N28,N29,N30)</f>
        <v>0.1</v>
      </c>
      <c r="O27" s="18">
        <f t="shared" ref="O27" si="15">+CHOOSE($E27,O28,O29,O30)</f>
        <v>0.1</v>
      </c>
      <c r="P27" s="18">
        <f t="shared" ref="P27" si="16">+CHOOSE($E27,P28,P29,P30)</f>
        <v>0.1</v>
      </c>
      <c r="Q27" s="18">
        <f t="shared" ref="Q27" si="17">+CHOOSE($E27,Q28,Q29,Q30)</f>
        <v>0.1</v>
      </c>
      <c r="R27" s="18">
        <f t="shared" ref="R27" si="18">+CHOOSE($E27,R28,R29,R30)</f>
        <v>0.1</v>
      </c>
      <c r="S27" s="18">
        <f t="shared" ref="S27" si="19">+CHOOSE($E27,S28,S29,S30)</f>
        <v>0.1</v>
      </c>
      <c r="T27" s="18">
        <f t="shared" ref="T27" si="20">+CHOOSE($E27,T28,T29,T30)</f>
        <v>0.1</v>
      </c>
      <c r="U27" s="18">
        <f t="shared" ref="U27" si="21">+CHOOSE($E27,U28,U29,U30)</f>
        <v>0.1</v>
      </c>
      <c r="V27" s="18">
        <f t="shared" ref="V27" si="22">+CHOOSE($E27,V28,V29,V30)</f>
        <v>0.1</v>
      </c>
    </row>
    <row r="28" spans="3:22" x14ac:dyDescent="0.15">
      <c r="C28" s="16" t="s">
        <v>13</v>
      </c>
      <c r="D28" s="12"/>
      <c r="E28" s="12"/>
      <c r="F28" s="13"/>
      <c r="G28" s="13"/>
      <c r="H28" s="13"/>
      <c r="I28" s="13"/>
      <c r="J28" s="13"/>
      <c r="K28" s="13"/>
      <c r="L28" s="13"/>
      <c r="M28" s="17">
        <v>0.1</v>
      </c>
      <c r="N28" s="17">
        <v>0.1</v>
      </c>
      <c r="O28" s="17">
        <v>0.1</v>
      </c>
      <c r="P28" s="17">
        <v>0.1</v>
      </c>
      <c r="Q28" s="17">
        <v>0.1</v>
      </c>
      <c r="R28" s="17">
        <v>0.1</v>
      </c>
      <c r="S28" s="17">
        <v>0.1</v>
      </c>
      <c r="T28" s="17">
        <v>0.1</v>
      </c>
      <c r="U28" s="17">
        <v>0.1</v>
      </c>
      <c r="V28" s="17">
        <v>0.1</v>
      </c>
    </row>
    <row r="29" spans="3:22" x14ac:dyDescent="0.15">
      <c r="C29" s="16" t="s">
        <v>14</v>
      </c>
      <c r="D29" s="12"/>
      <c r="E29" s="12"/>
      <c r="F29" s="13"/>
      <c r="G29" s="13"/>
      <c r="H29" s="13"/>
      <c r="I29" s="13"/>
      <c r="J29" s="13"/>
      <c r="K29" s="13"/>
      <c r="L29" s="13"/>
      <c r="M29" s="17">
        <v>0.15</v>
      </c>
      <c r="N29" s="17">
        <v>0.15</v>
      </c>
      <c r="O29" s="17">
        <v>0.15</v>
      </c>
      <c r="P29" s="17">
        <v>0.15</v>
      </c>
      <c r="Q29" s="17">
        <v>0.15</v>
      </c>
      <c r="R29" s="17">
        <v>0.15</v>
      </c>
      <c r="S29" s="17">
        <v>0.15</v>
      </c>
      <c r="T29" s="17">
        <v>0.15</v>
      </c>
      <c r="U29" s="17">
        <v>0.15</v>
      </c>
      <c r="V29" s="17">
        <v>0.15</v>
      </c>
    </row>
    <row r="30" spans="3:22" x14ac:dyDescent="0.15">
      <c r="C30" s="16" t="s">
        <v>19</v>
      </c>
      <c r="D30" s="12"/>
      <c r="E30" s="12"/>
      <c r="F30" s="13"/>
      <c r="G30" s="13"/>
      <c r="H30" s="13"/>
      <c r="I30" s="13"/>
      <c r="J30" s="13"/>
      <c r="K30" s="13"/>
      <c r="L30" s="13"/>
      <c r="M30" s="17">
        <v>0.05</v>
      </c>
      <c r="N30" s="17">
        <v>0.05</v>
      </c>
      <c r="O30" s="17">
        <v>0.05</v>
      </c>
      <c r="P30" s="17">
        <v>0.05</v>
      </c>
      <c r="Q30" s="17">
        <v>0.05</v>
      </c>
      <c r="R30" s="17">
        <v>0.05</v>
      </c>
      <c r="S30" s="17">
        <v>0.05</v>
      </c>
      <c r="T30" s="17">
        <v>0.05</v>
      </c>
      <c r="U30" s="17">
        <v>0.05</v>
      </c>
      <c r="V30" s="17">
        <v>0.05</v>
      </c>
    </row>
    <row r="31" spans="3:22" x14ac:dyDescent="0.15">
      <c r="C31" s="13"/>
      <c r="D31" s="12"/>
      <c r="E31" s="12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</row>
    <row r="32" spans="3:22" x14ac:dyDescent="0.15">
      <c r="C32" s="14" t="s">
        <v>21</v>
      </c>
      <c r="D32" s="12"/>
      <c r="E32" s="15">
        <v>3</v>
      </c>
      <c r="F32" s="13"/>
      <c r="G32" s="13"/>
      <c r="H32" s="13"/>
      <c r="I32" s="13"/>
      <c r="J32" s="13"/>
      <c r="K32" s="13"/>
      <c r="L32" s="13"/>
      <c r="M32" s="18">
        <f>+CHOOSE($E32,M33,M34,M35)</f>
        <v>0.05</v>
      </c>
      <c r="N32" s="18">
        <f t="shared" ref="N32" si="23">+CHOOSE($E32,N33,N34,N35)</f>
        <v>0.05</v>
      </c>
      <c r="O32" s="18">
        <f t="shared" ref="O32" si="24">+CHOOSE($E32,O33,O34,O35)</f>
        <v>0.05</v>
      </c>
      <c r="P32" s="18">
        <f t="shared" ref="P32" si="25">+CHOOSE($E32,P33,P34,P35)</f>
        <v>0.05</v>
      </c>
      <c r="Q32" s="18">
        <f t="shared" ref="Q32" si="26">+CHOOSE($E32,Q33,Q34,Q35)</f>
        <v>0.05</v>
      </c>
      <c r="R32" s="18">
        <f t="shared" ref="R32" si="27">+CHOOSE($E32,R33,R34,R35)</f>
        <v>0.05</v>
      </c>
      <c r="S32" s="18">
        <f t="shared" ref="S32" si="28">+CHOOSE($E32,S33,S34,S35)</f>
        <v>0.05</v>
      </c>
      <c r="T32" s="18">
        <f t="shared" ref="T32" si="29">+CHOOSE($E32,T33,T34,T35)</f>
        <v>0.05</v>
      </c>
      <c r="U32" s="18">
        <f t="shared" ref="U32" si="30">+CHOOSE($E32,U33,U34,U35)</f>
        <v>0.05</v>
      </c>
      <c r="V32" s="18">
        <f t="shared" ref="V32" si="31">+CHOOSE($E32,V33,V34,V35)</f>
        <v>0.05</v>
      </c>
    </row>
    <row r="33" spans="3:22" x14ac:dyDescent="0.15">
      <c r="C33" s="16" t="s">
        <v>13</v>
      </c>
      <c r="D33" s="12"/>
      <c r="E33" s="12"/>
      <c r="F33" s="13"/>
      <c r="G33" s="13"/>
      <c r="H33" s="13"/>
      <c r="I33" s="13"/>
      <c r="J33" s="13"/>
      <c r="K33" s="13"/>
      <c r="L33" s="13"/>
      <c r="M33" s="17">
        <v>0.1</v>
      </c>
      <c r="N33" s="17">
        <v>0.1</v>
      </c>
      <c r="O33" s="17">
        <v>0.1</v>
      </c>
      <c r="P33" s="17">
        <v>0.1</v>
      </c>
      <c r="Q33" s="17">
        <v>0.1</v>
      </c>
      <c r="R33" s="17">
        <v>0.1</v>
      </c>
      <c r="S33" s="17">
        <v>0.1</v>
      </c>
      <c r="T33" s="17">
        <v>0.1</v>
      </c>
      <c r="U33" s="17">
        <v>0.1</v>
      </c>
      <c r="V33" s="17">
        <v>0.1</v>
      </c>
    </row>
    <row r="34" spans="3:22" x14ac:dyDescent="0.15">
      <c r="C34" s="16" t="s">
        <v>14</v>
      </c>
      <c r="D34" s="12"/>
      <c r="E34" s="12"/>
      <c r="F34" s="13"/>
      <c r="G34" s="13"/>
      <c r="H34" s="13"/>
      <c r="I34" s="13"/>
      <c r="J34" s="13"/>
      <c r="K34" s="13"/>
      <c r="L34" s="13"/>
      <c r="M34" s="17">
        <v>0.15</v>
      </c>
      <c r="N34" s="17">
        <v>0.15</v>
      </c>
      <c r="O34" s="17">
        <v>0.15</v>
      </c>
      <c r="P34" s="17">
        <v>0.15</v>
      </c>
      <c r="Q34" s="17">
        <v>0.15</v>
      </c>
      <c r="R34" s="17">
        <v>0.15</v>
      </c>
      <c r="S34" s="17">
        <v>0.15</v>
      </c>
      <c r="T34" s="17">
        <v>0.15</v>
      </c>
      <c r="U34" s="17">
        <v>0.15</v>
      </c>
      <c r="V34" s="17">
        <v>0.15</v>
      </c>
    </row>
    <row r="35" spans="3:22" x14ac:dyDescent="0.15">
      <c r="C35" s="16" t="s">
        <v>19</v>
      </c>
      <c r="D35" s="12"/>
      <c r="E35" s="12"/>
      <c r="F35" s="13"/>
      <c r="G35" s="13"/>
      <c r="H35" s="13"/>
      <c r="I35" s="13"/>
      <c r="J35" s="13"/>
      <c r="K35" s="13"/>
      <c r="L35" s="13"/>
      <c r="M35" s="17">
        <v>0.05</v>
      </c>
      <c r="N35" s="17">
        <v>0.05</v>
      </c>
      <c r="O35" s="17">
        <v>0.05</v>
      </c>
      <c r="P35" s="17">
        <v>0.05</v>
      </c>
      <c r="Q35" s="17">
        <v>0.05</v>
      </c>
      <c r="R35" s="17">
        <v>0.05</v>
      </c>
      <c r="S35" s="17">
        <v>0.05</v>
      </c>
      <c r="T35" s="17">
        <v>0.05</v>
      </c>
      <c r="U35" s="17">
        <v>0.05</v>
      </c>
      <c r="V35" s="17">
        <v>0.05</v>
      </c>
    </row>
    <row r="36" spans="3:22" x14ac:dyDescent="0.15">
      <c r="C36" s="13"/>
      <c r="D36" s="12"/>
      <c r="E36" s="12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</row>
    <row r="37" spans="3:22" x14ac:dyDescent="0.15">
      <c r="C37" s="11" t="s">
        <v>22</v>
      </c>
      <c r="D37" s="12"/>
      <c r="E37" s="12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</row>
    <row r="38" spans="3:22" x14ac:dyDescent="0.15">
      <c r="C38" s="14" t="s">
        <v>35</v>
      </c>
      <c r="D38" s="12"/>
      <c r="E38" s="15">
        <f>+$E$11</f>
        <v>1</v>
      </c>
      <c r="F38" s="13"/>
      <c r="G38" s="13"/>
      <c r="H38" s="13"/>
      <c r="I38" s="13"/>
      <c r="J38" s="13"/>
      <c r="K38" s="13"/>
      <c r="L38" s="13"/>
      <c r="M38" s="18">
        <f>+CHOOSE($E38,M39,M40,M41)</f>
        <v>0.35</v>
      </c>
      <c r="N38" s="18">
        <f t="shared" ref="N38" si="32">+CHOOSE($E38,N39,N40,N41)</f>
        <v>0.35</v>
      </c>
      <c r="O38" s="18">
        <f t="shared" ref="O38" si="33">+CHOOSE($E38,O39,O40,O41)</f>
        <v>0.35</v>
      </c>
      <c r="P38" s="18">
        <f t="shared" ref="P38" si="34">+CHOOSE($E38,P39,P40,P41)</f>
        <v>0.35</v>
      </c>
      <c r="Q38" s="18">
        <f t="shared" ref="Q38" si="35">+CHOOSE($E38,Q39,Q40,Q41)</f>
        <v>0.35</v>
      </c>
      <c r="R38" s="18">
        <f t="shared" ref="R38" si="36">+CHOOSE($E38,R39,R40,R41)</f>
        <v>0.35</v>
      </c>
      <c r="S38" s="18">
        <f t="shared" ref="S38" si="37">+CHOOSE($E38,S39,S40,S41)</f>
        <v>0.35</v>
      </c>
      <c r="T38" s="18">
        <f t="shared" ref="T38" si="38">+CHOOSE($E38,T39,T40,T41)</f>
        <v>0.35</v>
      </c>
      <c r="U38" s="18">
        <f t="shared" ref="U38" si="39">+CHOOSE($E38,U39,U40,U41)</f>
        <v>0.35</v>
      </c>
      <c r="V38" s="18">
        <f t="shared" ref="V38" si="40">+CHOOSE($E38,V39,V40,V41)</f>
        <v>0.35</v>
      </c>
    </row>
    <row r="39" spans="3:22" x14ac:dyDescent="0.15">
      <c r="C39" s="16" t="s">
        <v>13</v>
      </c>
      <c r="D39" s="12"/>
      <c r="E39" s="12"/>
      <c r="F39" s="13"/>
      <c r="G39" s="13"/>
      <c r="H39" s="13"/>
      <c r="I39" s="13"/>
      <c r="J39" s="13"/>
      <c r="K39" s="13"/>
      <c r="L39" s="13"/>
      <c r="M39" s="17">
        <v>0.35</v>
      </c>
      <c r="N39" s="17">
        <v>0.35</v>
      </c>
      <c r="O39" s="17">
        <v>0.35</v>
      </c>
      <c r="P39" s="17">
        <v>0.35</v>
      </c>
      <c r="Q39" s="17">
        <v>0.35</v>
      </c>
      <c r="R39" s="17">
        <v>0.35</v>
      </c>
      <c r="S39" s="17">
        <v>0.35</v>
      </c>
      <c r="T39" s="17">
        <v>0.35</v>
      </c>
      <c r="U39" s="17">
        <v>0.35</v>
      </c>
      <c r="V39" s="17">
        <v>0.35</v>
      </c>
    </row>
    <row r="40" spans="3:22" x14ac:dyDescent="0.15">
      <c r="C40" s="16" t="s">
        <v>14</v>
      </c>
      <c r="D40" s="12"/>
      <c r="E40" s="12"/>
      <c r="F40" s="13"/>
      <c r="G40" s="13"/>
      <c r="H40" s="13"/>
      <c r="I40" s="13"/>
      <c r="J40" s="13"/>
      <c r="K40" s="13"/>
      <c r="L40" s="13"/>
      <c r="M40" s="17">
        <v>0.4</v>
      </c>
      <c r="N40" s="17">
        <v>0.4</v>
      </c>
      <c r="O40" s="17">
        <v>0.4</v>
      </c>
      <c r="P40" s="17">
        <v>0.4</v>
      </c>
      <c r="Q40" s="17">
        <v>0.4</v>
      </c>
      <c r="R40" s="17">
        <v>0.4</v>
      </c>
      <c r="S40" s="17">
        <v>0.4</v>
      </c>
      <c r="T40" s="17">
        <v>0.4</v>
      </c>
      <c r="U40" s="17">
        <v>0.4</v>
      </c>
      <c r="V40" s="17">
        <v>0.4</v>
      </c>
    </row>
    <row r="41" spans="3:22" x14ac:dyDescent="0.15">
      <c r="C41" s="16" t="s">
        <v>19</v>
      </c>
      <c r="D41" s="12"/>
      <c r="E41" s="12"/>
      <c r="F41" s="13"/>
      <c r="G41" s="13"/>
      <c r="H41" s="13"/>
      <c r="I41" s="13"/>
      <c r="J41" s="13"/>
      <c r="K41" s="13"/>
      <c r="L41" s="13"/>
      <c r="M41" s="17">
        <v>0.3</v>
      </c>
      <c r="N41" s="17">
        <v>0.3</v>
      </c>
      <c r="O41" s="17">
        <v>0.3</v>
      </c>
      <c r="P41" s="17">
        <v>0.3</v>
      </c>
      <c r="Q41" s="17">
        <v>0.3</v>
      </c>
      <c r="R41" s="17">
        <v>0.3</v>
      </c>
      <c r="S41" s="17">
        <v>0.3</v>
      </c>
      <c r="T41" s="17">
        <v>0.3</v>
      </c>
      <c r="U41" s="17">
        <v>0.3</v>
      </c>
      <c r="V41" s="17">
        <v>0.3</v>
      </c>
    </row>
    <row r="42" spans="3:22" x14ac:dyDescent="0.15">
      <c r="C42" s="13"/>
      <c r="D42" s="12"/>
      <c r="E42" s="12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</row>
    <row r="43" spans="3:22" x14ac:dyDescent="0.15">
      <c r="C43" s="14" t="s">
        <v>36</v>
      </c>
      <c r="D43" s="12"/>
      <c r="E43" s="15">
        <f>+$E$11</f>
        <v>1</v>
      </c>
      <c r="F43" s="13"/>
      <c r="G43" s="13"/>
      <c r="H43" s="13"/>
      <c r="I43" s="13"/>
      <c r="J43" s="13"/>
      <c r="K43" s="13"/>
      <c r="L43" s="13"/>
      <c r="M43" s="18">
        <f>+CHOOSE($E43,M44,M45,M46)</f>
        <v>0.35</v>
      </c>
      <c r="N43" s="18">
        <f t="shared" ref="N43" si="41">+CHOOSE($E43,N44,N45,N46)</f>
        <v>0.35</v>
      </c>
      <c r="O43" s="18">
        <f t="shared" ref="O43" si="42">+CHOOSE($E43,O44,O45,O46)</f>
        <v>0.35</v>
      </c>
      <c r="P43" s="18">
        <f t="shared" ref="P43" si="43">+CHOOSE($E43,P44,P45,P46)</f>
        <v>0.35</v>
      </c>
      <c r="Q43" s="18">
        <f t="shared" ref="Q43" si="44">+CHOOSE($E43,Q44,Q45,Q46)</f>
        <v>0.35</v>
      </c>
      <c r="R43" s="18">
        <f t="shared" ref="R43" si="45">+CHOOSE($E43,R44,R45,R46)</f>
        <v>0.35</v>
      </c>
      <c r="S43" s="18">
        <f t="shared" ref="S43" si="46">+CHOOSE($E43,S44,S45,S46)</f>
        <v>0.35</v>
      </c>
      <c r="T43" s="18">
        <f t="shared" ref="T43" si="47">+CHOOSE($E43,T44,T45,T46)</f>
        <v>0.35</v>
      </c>
      <c r="U43" s="18">
        <f t="shared" ref="U43" si="48">+CHOOSE($E43,U44,U45,U46)</f>
        <v>0.35</v>
      </c>
      <c r="V43" s="18">
        <f t="shared" ref="V43" si="49">+CHOOSE($E43,V44,V45,V46)</f>
        <v>0.35</v>
      </c>
    </row>
    <row r="44" spans="3:22" x14ac:dyDescent="0.15">
      <c r="C44" s="16" t="s">
        <v>13</v>
      </c>
      <c r="D44" s="12"/>
      <c r="E44" s="12"/>
      <c r="F44" s="13"/>
      <c r="G44" s="13"/>
      <c r="H44" s="13"/>
      <c r="I44" s="13"/>
      <c r="J44" s="13"/>
      <c r="K44" s="13"/>
      <c r="L44" s="13"/>
      <c r="M44" s="17">
        <v>0.35</v>
      </c>
      <c r="N44" s="17">
        <v>0.35</v>
      </c>
      <c r="O44" s="17">
        <v>0.35</v>
      </c>
      <c r="P44" s="17">
        <v>0.35</v>
      </c>
      <c r="Q44" s="17">
        <v>0.35</v>
      </c>
      <c r="R44" s="17">
        <v>0.35</v>
      </c>
      <c r="S44" s="17">
        <v>0.35</v>
      </c>
      <c r="T44" s="17">
        <v>0.35</v>
      </c>
      <c r="U44" s="17">
        <v>0.35</v>
      </c>
      <c r="V44" s="17">
        <v>0.35</v>
      </c>
    </row>
    <row r="45" spans="3:22" x14ac:dyDescent="0.15">
      <c r="C45" s="16" t="s">
        <v>14</v>
      </c>
      <c r="D45" s="12"/>
      <c r="E45" s="12"/>
      <c r="F45" s="13"/>
      <c r="G45" s="13"/>
      <c r="H45" s="13"/>
      <c r="I45" s="13"/>
      <c r="J45" s="13"/>
      <c r="K45" s="13"/>
      <c r="L45" s="13"/>
      <c r="M45" s="17">
        <v>0.4</v>
      </c>
      <c r="N45" s="17">
        <v>0.4</v>
      </c>
      <c r="O45" s="17">
        <v>0.4</v>
      </c>
      <c r="P45" s="17">
        <v>0.4</v>
      </c>
      <c r="Q45" s="17">
        <v>0.4</v>
      </c>
      <c r="R45" s="17">
        <v>0.4</v>
      </c>
      <c r="S45" s="17">
        <v>0.4</v>
      </c>
      <c r="T45" s="17">
        <v>0.4</v>
      </c>
      <c r="U45" s="17">
        <v>0.4</v>
      </c>
      <c r="V45" s="17">
        <v>0.4</v>
      </c>
    </row>
    <row r="46" spans="3:22" x14ac:dyDescent="0.15">
      <c r="C46" s="16" t="s">
        <v>19</v>
      </c>
      <c r="D46" s="12"/>
      <c r="E46" s="12"/>
      <c r="F46" s="13"/>
      <c r="G46" s="13"/>
      <c r="H46" s="13"/>
      <c r="I46" s="13"/>
      <c r="J46" s="13"/>
      <c r="K46" s="13"/>
      <c r="L46" s="13"/>
      <c r="M46" s="17">
        <v>0.3</v>
      </c>
      <c r="N46" s="17">
        <v>0.3</v>
      </c>
      <c r="O46" s="17">
        <v>0.3</v>
      </c>
      <c r="P46" s="17">
        <v>0.3</v>
      </c>
      <c r="Q46" s="17">
        <v>0.3</v>
      </c>
      <c r="R46" s="17">
        <v>0.3</v>
      </c>
      <c r="S46" s="17">
        <v>0.3</v>
      </c>
      <c r="T46" s="17">
        <v>0.3</v>
      </c>
      <c r="U46" s="17">
        <v>0.3</v>
      </c>
      <c r="V46" s="17">
        <v>0.3</v>
      </c>
    </row>
    <row r="47" spans="3:22" x14ac:dyDescent="0.15">
      <c r="C47" s="13"/>
      <c r="D47" s="12"/>
      <c r="E47" s="12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</row>
    <row r="48" spans="3:22" x14ac:dyDescent="0.15">
      <c r="C48" s="14" t="s">
        <v>37</v>
      </c>
      <c r="D48" s="12"/>
      <c r="E48" s="15">
        <f>+$E$11</f>
        <v>1</v>
      </c>
      <c r="F48" s="13"/>
      <c r="G48" s="13"/>
      <c r="H48" s="13"/>
      <c r="I48" s="13"/>
      <c r="J48" s="13"/>
      <c r="K48" s="13"/>
      <c r="L48" s="13"/>
      <c r="M48" s="18">
        <f>+CHOOSE($E48,M49,M50,M51)</f>
        <v>0.35</v>
      </c>
      <c r="N48" s="18">
        <f t="shared" ref="N48" si="50">+CHOOSE($E48,N49,N50,N51)</f>
        <v>0.35</v>
      </c>
      <c r="O48" s="18">
        <f t="shared" ref="O48" si="51">+CHOOSE($E48,O49,O50,O51)</f>
        <v>0.35</v>
      </c>
      <c r="P48" s="18">
        <f t="shared" ref="P48" si="52">+CHOOSE($E48,P49,P50,P51)</f>
        <v>0.35</v>
      </c>
      <c r="Q48" s="18">
        <f t="shared" ref="Q48" si="53">+CHOOSE($E48,Q49,Q50,Q51)</f>
        <v>0.35</v>
      </c>
      <c r="R48" s="18">
        <f t="shared" ref="R48" si="54">+CHOOSE($E48,R49,R50,R51)</f>
        <v>0.35</v>
      </c>
      <c r="S48" s="18">
        <f t="shared" ref="S48" si="55">+CHOOSE($E48,S49,S50,S51)</f>
        <v>0.35</v>
      </c>
      <c r="T48" s="18">
        <f t="shared" ref="T48" si="56">+CHOOSE($E48,T49,T50,T51)</f>
        <v>0.35</v>
      </c>
      <c r="U48" s="18">
        <f t="shared" ref="U48" si="57">+CHOOSE($E48,U49,U50,U51)</f>
        <v>0.35</v>
      </c>
      <c r="V48" s="18">
        <f t="shared" ref="V48" si="58">+CHOOSE($E48,V49,V50,V51)</f>
        <v>0.35</v>
      </c>
    </row>
    <row r="49" spans="3:22" x14ac:dyDescent="0.15">
      <c r="C49" s="16" t="s">
        <v>13</v>
      </c>
      <c r="D49" s="12"/>
      <c r="E49" s="12"/>
      <c r="F49" s="13"/>
      <c r="G49" s="13"/>
      <c r="H49" s="13"/>
      <c r="I49" s="13"/>
      <c r="J49" s="13"/>
      <c r="K49" s="13"/>
      <c r="L49" s="13"/>
      <c r="M49" s="17">
        <v>0.35</v>
      </c>
      <c r="N49" s="17">
        <v>0.35</v>
      </c>
      <c r="O49" s="17">
        <v>0.35</v>
      </c>
      <c r="P49" s="17">
        <v>0.35</v>
      </c>
      <c r="Q49" s="17">
        <v>0.35</v>
      </c>
      <c r="R49" s="17">
        <v>0.35</v>
      </c>
      <c r="S49" s="17">
        <v>0.35</v>
      </c>
      <c r="T49" s="17">
        <v>0.35</v>
      </c>
      <c r="U49" s="17">
        <v>0.35</v>
      </c>
      <c r="V49" s="17">
        <v>0.35</v>
      </c>
    </row>
    <row r="50" spans="3:22" x14ac:dyDescent="0.15">
      <c r="C50" s="16" t="s">
        <v>14</v>
      </c>
      <c r="D50" s="12"/>
      <c r="E50" s="12"/>
      <c r="F50" s="13"/>
      <c r="G50" s="13"/>
      <c r="H50" s="13"/>
      <c r="I50" s="13"/>
      <c r="J50" s="13"/>
      <c r="K50" s="13"/>
      <c r="L50" s="13"/>
      <c r="M50" s="17">
        <v>0.4</v>
      </c>
      <c r="N50" s="17">
        <v>0.4</v>
      </c>
      <c r="O50" s="17">
        <v>0.4</v>
      </c>
      <c r="P50" s="17">
        <v>0.4</v>
      </c>
      <c r="Q50" s="17">
        <v>0.4</v>
      </c>
      <c r="R50" s="17">
        <v>0.4</v>
      </c>
      <c r="S50" s="17">
        <v>0.4</v>
      </c>
      <c r="T50" s="17">
        <v>0.4</v>
      </c>
      <c r="U50" s="17">
        <v>0.4</v>
      </c>
      <c r="V50" s="17">
        <v>0.4</v>
      </c>
    </row>
    <row r="51" spans="3:22" x14ac:dyDescent="0.15">
      <c r="C51" s="16" t="s">
        <v>19</v>
      </c>
      <c r="D51" s="12"/>
      <c r="E51" s="12"/>
      <c r="F51" s="13"/>
      <c r="G51" s="13"/>
      <c r="H51" s="13"/>
      <c r="I51" s="13"/>
      <c r="J51" s="13"/>
      <c r="K51" s="13"/>
      <c r="L51" s="13"/>
      <c r="M51" s="17">
        <v>0.3</v>
      </c>
      <c r="N51" s="17">
        <v>0.3</v>
      </c>
      <c r="O51" s="17">
        <v>0.3</v>
      </c>
      <c r="P51" s="17">
        <v>0.3</v>
      </c>
      <c r="Q51" s="17">
        <v>0.3</v>
      </c>
      <c r="R51" s="17">
        <v>0.3</v>
      </c>
      <c r="S51" s="17">
        <v>0.3</v>
      </c>
      <c r="T51" s="17">
        <v>0.3</v>
      </c>
      <c r="U51" s="17">
        <v>0.3</v>
      </c>
      <c r="V51" s="17">
        <v>0.3</v>
      </c>
    </row>
    <row r="52" spans="3:22" x14ac:dyDescent="0.15">
      <c r="C52" s="13"/>
      <c r="D52" s="12"/>
      <c r="E52" s="12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</row>
    <row r="53" spans="3:22" x14ac:dyDescent="0.15">
      <c r="C53" s="11" t="s">
        <v>23</v>
      </c>
      <c r="D53" s="12"/>
      <c r="E53" s="12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</row>
    <row r="54" spans="3:22" x14ac:dyDescent="0.15">
      <c r="C54" s="14" t="s">
        <v>24</v>
      </c>
      <c r="D54" s="12"/>
      <c r="E54" s="15">
        <f>+$E$11</f>
        <v>1</v>
      </c>
      <c r="F54" s="13"/>
      <c r="G54" s="13"/>
      <c r="H54" s="13"/>
      <c r="I54" s="13"/>
      <c r="J54" s="13"/>
      <c r="K54" s="13"/>
      <c r="L54" s="13"/>
      <c r="M54" s="18">
        <f>+CHOOSE($E54,M55,M56,M57)</f>
        <v>0.25</v>
      </c>
      <c r="N54" s="18">
        <f t="shared" ref="N54:V54" si="59">+CHOOSE($E54,N55,N56,N57)</f>
        <v>0.25</v>
      </c>
      <c r="O54" s="18">
        <f t="shared" si="59"/>
        <v>0.25</v>
      </c>
      <c r="P54" s="18">
        <f t="shared" si="59"/>
        <v>0.25</v>
      </c>
      <c r="Q54" s="18">
        <f t="shared" si="59"/>
        <v>0.25</v>
      </c>
      <c r="R54" s="18">
        <f t="shared" si="59"/>
        <v>0.25</v>
      </c>
      <c r="S54" s="18">
        <f t="shared" si="59"/>
        <v>0.25</v>
      </c>
      <c r="T54" s="18">
        <f t="shared" si="59"/>
        <v>0.25</v>
      </c>
      <c r="U54" s="18">
        <f t="shared" si="59"/>
        <v>0.25</v>
      </c>
      <c r="V54" s="18">
        <f t="shared" si="59"/>
        <v>0.25</v>
      </c>
    </row>
    <row r="55" spans="3:22" x14ac:dyDescent="0.15">
      <c r="C55" s="16" t="s">
        <v>13</v>
      </c>
      <c r="D55" s="12"/>
      <c r="E55" s="12"/>
      <c r="F55" s="13"/>
      <c r="G55" s="13"/>
      <c r="H55" s="13"/>
      <c r="I55" s="13"/>
      <c r="J55" s="13"/>
      <c r="K55" s="13"/>
      <c r="L55" s="13"/>
      <c r="M55" s="17">
        <v>0.25</v>
      </c>
      <c r="N55" s="17">
        <v>0.25</v>
      </c>
      <c r="O55" s="17">
        <v>0.25</v>
      </c>
      <c r="P55" s="17">
        <v>0.25</v>
      </c>
      <c r="Q55" s="17">
        <v>0.25</v>
      </c>
      <c r="R55" s="17">
        <v>0.25</v>
      </c>
      <c r="S55" s="17">
        <v>0.25</v>
      </c>
      <c r="T55" s="17">
        <v>0.25</v>
      </c>
      <c r="U55" s="17">
        <v>0.25</v>
      </c>
      <c r="V55" s="17">
        <v>0.25</v>
      </c>
    </row>
    <row r="56" spans="3:22" x14ac:dyDescent="0.15">
      <c r="C56" s="16" t="s">
        <v>14</v>
      </c>
      <c r="D56" s="12"/>
      <c r="E56" s="12"/>
      <c r="F56" s="13"/>
      <c r="G56" s="13"/>
      <c r="H56" s="13"/>
      <c r="I56" s="13"/>
      <c r="J56" s="13"/>
      <c r="K56" s="13"/>
      <c r="L56" s="13"/>
      <c r="M56" s="17">
        <v>0.28000000000000003</v>
      </c>
      <c r="N56" s="17">
        <v>0.28000000000000003</v>
      </c>
      <c r="O56" s="17">
        <v>0.28000000000000003</v>
      </c>
      <c r="P56" s="17">
        <v>0.28000000000000003</v>
      </c>
      <c r="Q56" s="17">
        <v>0.28000000000000003</v>
      </c>
      <c r="R56" s="17">
        <v>0.28000000000000003</v>
      </c>
      <c r="S56" s="17">
        <v>0.28000000000000003</v>
      </c>
      <c r="T56" s="17">
        <v>0.28000000000000003</v>
      </c>
      <c r="U56" s="17">
        <v>0.28000000000000003</v>
      </c>
      <c r="V56" s="17">
        <v>0.28000000000000003</v>
      </c>
    </row>
    <row r="57" spans="3:22" x14ac:dyDescent="0.15">
      <c r="C57" s="16" t="s">
        <v>19</v>
      </c>
      <c r="D57" s="12"/>
      <c r="E57" s="12"/>
      <c r="F57" s="13"/>
      <c r="G57" s="13"/>
      <c r="H57" s="13"/>
      <c r="I57" s="13"/>
      <c r="J57" s="13"/>
      <c r="K57" s="13"/>
      <c r="L57" s="13"/>
      <c r="M57" s="17">
        <v>0.25</v>
      </c>
      <c r="N57" s="17">
        <v>0.3</v>
      </c>
      <c r="O57" s="17">
        <v>0.3</v>
      </c>
      <c r="P57" s="17">
        <v>0.3</v>
      </c>
      <c r="Q57" s="17">
        <v>0.3</v>
      </c>
      <c r="R57" s="17">
        <v>0.3</v>
      </c>
      <c r="S57" s="17">
        <v>0.3</v>
      </c>
      <c r="T57" s="17">
        <v>0.3</v>
      </c>
      <c r="U57" s="17">
        <v>0.3</v>
      </c>
      <c r="V57" s="17">
        <v>0.3</v>
      </c>
    </row>
    <row r="58" spans="3:22" x14ac:dyDescent="0.15">
      <c r="C58" s="13"/>
      <c r="D58" s="12"/>
      <c r="E58" s="12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</row>
    <row r="59" spans="3:22" x14ac:dyDescent="0.15">
      <c r="C59" s="11" t="s">
        <v>25</v>
      </c>
      <c r="D59" s="12"/>
      <c r="E59" s="12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</row>
    <row r="60" spans="3:22" x14ac:dyDescent="0.15">
      <c r="C60" s="14" t="s">
        <v>26</v>
      </c>
      <c r="D60" s="12"/>
      <c r="E60" s="15">
        <f>+$E$11</f>
        <v>1</v>
      </c>
      <c r="F60" s="13"/>
      <c r="G60" s="13"/>
      <c r="H60" s="13"/>
      <c r="I60" s="13"/>
      <c r="J60" s="13"/>
      <c r="K60" s="18">
        <v>0.02</v>
      </c>
      <c r="L60" s="13"/>
      <c r="M60" s="18">
        <f t="shared" ref="M60:V60" si="60">+CHOOSE($E60,M61,M62,M63)</f>
        <v>0.05</v>
      </c>
      <c r="N60" s="18">
        <f t="shared" si="60"/>
        <v>0.05</v>
      </c>
      <c r="O60" s="18">
        <f t="shared" si="60"/>
        <v>0.05</v>
      </c>
      <c r="P60" s="18">
        <f t="shared" si="60"/>
        <v>0.05</v>
      </c>
      <c r="Q60" s="18">
        <f t="shared" si="60"/>
        <v>0.05</v>
      </c>
      <c r="R60" s="18">
        <f t="shared" si="60"/>
        <v>0.05</v>
      </c>
      <c r="S60" s="18">
        <f t="shared" si="60"/>
        <v>0.05</v>
      </c>
      <c r="T60" s="18">
        <f t="shared" si="60"/>
        <v>0.05</v>
      </c>
      <c r="U60" s="18">
        <f t="shared" si="60"/>
        <v>0.05</v>
      </c>
      <c r="V60" s="18">
        <f t="shared" si="60"/>
        <v>0.05</v>
      </c>
    </row>
    <row r="61" spans="3:22" x14ac:dyDescent="0.15">
      <c r="C61" s="16" t="s">
        <v>13</v>
      </c>
      <c r="D61" s="12"/>
      <c r="E61" s="12"/>
      <c r="F61" s="13"/>
      <c r="G61" s="13"/>
      <c r="H61" s="13"/>
      <c r="I61" s="13"/>
      <c r="J61" s="13"/>
      <c r="K61" s="17">
        <v>0.05</v>
      </c>
      <c r="L61" s="13"/>
      <c r="M61" s="17">
        <v>0.05</v>
      </c>
      <c r="N61" s="17">
        <v>0.05</v>
      </c>
      <c r="O61" s="17">
        <v>0.05</v>
      </c>
      <c r="P61" s="17">
        <v>0.05</v>
      </c>
      <c r="Q61" s="17">
        <v>0.05</v>
      </c>
      <c r="R61" s="17">
        <v>0.05</v>
      </c>
      <c r="S61" s="17">
        <v>0.05</v>
      </c>
      <c r="T61" s="17">
        <v>0.05</v>
      </c>
      <c r="U61" s="17">
        <v>0.05</v>
      </c>
      <c r="V61" s="17">
        <v>0.05</v>
      </c>
    </row>
    <row r="62" spans="3:22" x14ac:dyDescent="0.15">
      <c r="C62" s="16" t="s">
        <v>14</v>
      </c>
      <c r="D62" s="12"/>
      <c r="E62" s="12"/>
      <c r="F62" s="13"/>
      <c r="G62" s="13"/>
      <c r="H62" s="13"/>
      <c r="I62" s="13"/>
      <c r="J62" s="13"/>
      <c r="K62" s="17">
        <v>0.04</v>
      </c>
      <c r="L62" s="13"/>
      <c r="M62" s="17">
        <v>0.04</v>
      </c>
      <c r="N62" s="17">
        <v>0.04</v>
      </c>
      <c r="O62" s="17">
        <v>0.04</v>
      </c>
      <c r="P62" s="17">
        <v>0.04</v>
      </c>
      <c r="Q62" s="17">
        <v>0.04</v>
      </c>
      <c r="R62" s="17">
        <v>0.04</v>
      </c>
      <c r="S62" s="17">
        <v>0.04</v>
      </c>
      <c r="T62" s="17">
        <v>0.04</v>
      </c>
      <c r="U62" s="17">
        <v>0.04</v>
      </c>
      <c r="V62" s="17">
        <v>0.04</v>
      </c>
    </row>
    <row r="63" spans="3:22" x14ac:dyDescent="0.15">
      <c r="C63" s="16" t="s">
        <v>19</v>
      </c>
      <c r="D63" s="12"/>
      <c r="E63" s="12"/>
      <c r="F63" s="13"/>
      <c r="G63" s="13"/>
      <c r="H63" s="13"/>
      <c r="I63" s="13"/>
      <c r="J63" s="13"/>
      <c r="K63" s="17">
        <v>0.06</v>
      </c>
      <c r="L63" s="13"/>
      <c r="M63" s="17">
        <v>0.06</v>
      </c>
      <c r="N63" s="17">
        <v>0.06</v>
      </c>
      <c r="O63" s="17">
        <v>0.06</v>
      </c>
      <c r="P63" s="17">
        <v>0.06</v>
      </c>
      <c r="Q63" s="17">
        <v>0.06</v>
      </c>
      <c r="R63" s="17">
        <v>0.06</v>
      </c>
      <c r="S63" s="17">
        <v>0.06</v>
      </c>
      <c r="T63" s="17">
        <v>0.06</v>
      </c>
      <c r="U63" s="17">
        <v>0.06</v>
      </c>
      <c r="V63" s="17">
        <v>0.06</v>
      </c>
    </row>
    <row r="64" spans="3:22" x14ac:dyDescent="0.15">
      <c r="C64" s="13"/>
      <c r="D64" s="12"/>
      <c r="E64" s="12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</row>
    <row r="65" spans="3:22" x14ac:dyDescent="0.15">
      <c r="C65" s="14" t="s">
        <v>27</v>
      </c>
      <c r="D65" s="12"/>
      <c r="E65" s="15">
        <f>+$E$11</f>
        <v>1</v>
      </c>
      <c r="F65" s="13"/>
      <c r="G65" s="13"/>
      <c r="H65" s="13"/>
      <c r="I65" s="13"/>
      <c r="J65" s="13"/>
      <c r="K65" s="13"/>
      <c r="L65" s="13"/>
      <c r="M65" s="18">
        <f t="shared" ref="M65" si="61">+CHOOSE($E65,M66,M67,M68)</f>
        <v>0.5</v>
      </c>
      <c r="N65" s="18">
        <f t="shared" ref="N65" si="62">+CHOOSE($E65,N66,N67,N68)</f>
        <v>0.5</v>
      </c>
      <c r="O65" s="18">
        <f t="shared" ref="O65" si="63">+CHOOSE($E65,O66,O67,O68)</f>
        <v>0.5</v>
      </c>
      <c r="P65" s="18">
        <f t="shared" ref="P65" si="64">+CHOOSE($E65,P66,P67,P68)</f>
        <v>0.5</v>
      </c>
      <c r="Q65" s="18">
        <f t="shared" ref="Q65" si="65">+CHOOSE($E65,Q66,Q67,Q68)</f>
        <v>0.5</v>
      </c>
      <c r="R65" s="18">
        <f t="shared" ref="R65" si="66">+CHOOSE($E65,R66,R67,R68)</f>
        <v>0.5</v>
      </c>
      <c r="S65" s="18">
        <f t="shared" ref="S65" si="67">+CHOOSE($E65,S66,S67,S68)</f>
        <v>0.5</v>
      </c>
      <c r="T65" s="18">
        <f t="shared" ref="T65" si="68">+CHOOSE($E65,T66,T67,T68)</f>
        <v>0.5</v>
      </c>
      <c r="U65" s="18">
        <f t="shared" ref="U65" si="69">+CHOOSE($E65,U66,U67,U68)</f>
        <v>0.5</v>
      </c>
      <c r="V65" s="18">
        <f t="shared" ref="V65" si="70">+CHOOSE($E65,V66,V67,V68)</f>
        <v>0.5</v>
      </c>
    </row>
    <row r="66" spans="3:22" x14ac:dyDescent="0.15">
      <c r="C66" s="16" t="s">
        <v>13</v>
      </c>
      <c r="D66" s="12"/>
      <c r="E66" s="12"/>
      <c r="F66" s="13"/>
      <c r="G66" s="13"/>
      <c r="H66" s="13"/>
      <c r="I66" s="13"/>
      <c r="J66" s="13"/>
      <c r="K66" s="13"/>
      <c r="L66" s="13"/>
      <c r="M66" s="17">
        <v>0.5</v>
      </c>
      <c r="N66" s="17">
        <v>0.5</v>
      </c>
      <c r="O66" s="17">
        <v>0.5</v>
      </c>
      <c r="P66" s="17">
        <v>0.5</v>
      </c>
      <c r="Q66" s="17">
        <v>0.5</v>
      </c>
      <c r="R66" s="17">
        <v>0.5</v>
      </c>
      <c r="S66" s="17">
        <v>0.5</v>
      </c>
      <c r="T66" s="17">
        <v>0.5</v>
      </c>
      <c r="U66" s="17">
        <v>0.5</v>
      </c>
      <c r="V66" s="17">
        <v>0.5</v>
      </c>
    </row>
    <row r="67" spans="3:22" x14ac:dyDescent="0.15">
      <c r="C67" s="16" t="s">
        <v>14</v>
      </c>
      <c r="D67" s="12"/>
      <c r="E67" s="12"/>
      <c r="F67" s="13"/>
      <c r="G67" s="13"/>
      <c r="H67" s="13"/>
      <c r="I67" s="13"/>
      <c r="J67" s="13"/>
      <c r="K67" s="13"/>
      <c r="L67" s="13"/>
      <c r="M67" s="17">
        <v>0.5</v>
      </c>
      <c r="N67" s="17">
        <v>0.5</v>
      </c>
      <c r="O67" s="17">
        <v>0.5</v>
      </c>
      <c r="P67" s="17">
        <v>0.5</v>
      </c>
      <c r="Q67" s="17">
        <v>0.5</v>
      </c>
      <c r="R67" s="17">
        <v>0.5</v>
      </c>
      <c r="S67" s="17">
        <v>0.5</v>
      </c>
      <c r="T67" s="17">
        <v>0.5</v>
      </c>
      <c r="U67" s="17">
        <v>0.5</v>
      </c>
      <c r="V67" s="17">
        <v>0.5</v>
      </c>
    </row>
    <row r="68" spans="3:22" x14ac:dyDescent="0.15">
      <c r="C68" s="16" t="s">
        <v>19</v>
      </c>
      <c r="D68" s="12"/>
      <c r="E68" s="12"/>
      <c r="F68" s="13"/>
      <c r="G68" s="13"/>
      <c r="H68" s="13"/>
      <c r="I68" s="13"/>
      <c r="J68" s="13"/>
      <c r="K68" s="13"/>
      <c r="L68" s="13"/>
      <c r="M68" s="17">
        <v>0.5</v>
      </c>
      <c r="N68" s="17">
        <v>0.5</v>
      </c>
      <c r="O68" s="17">
        <v>0.5</v>
      </c>
      <c r="P68" s="17">
        <v>0.5</v>
      </c>
      <c r="Q68" s="17">
        <v>0.5</v>
      </c>
      <c r="R68" s="17">
        <v>0.5</v>
      </c>
      <c r="S68" s="17">
        <v>0.5</v>
      </c>
      <c r="T68" s="17">
        <v>0.5</v>
      </c>
      <c r="U68" s="17">
        <v>0.5</v>
      </c>
      <c r="V68" s="17">
        <v>0.5</v>
      </c>
    </row>
    <row r="69" spans="3:22" x14ac:dyDescent="0.15">
      <c r="C69" s="13"/>
      <c r="D69" s="12"/>
      <c r="E69" s="12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</row>
    <row r="70" spans="3:22" x14ac:dyDescent="0.15">
      <c r="C70" s="11" t="s">
        <v>28</v>
      </c>
      <c r="D70" s="12"/>
      <c r="E70" s="12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</row>
    <row r="71" spans="3:22" x14ac:dyDescent="0.15">
      <c r="C71" s="14" t="s">
        <v>29</v>
      </c>
      <c r="D71" s="12"/>
      <c r="E71" s="12"/>
      <c r="F71" s="13"/>
      <c r="G71" s="13"/>
      <c r="H71" s="13"/>
      <c r="I71" s="13"/>
      <c r="J71" s="13"/>
      <c r="K71" s="17">
        <v>0.2</v>
      </c>
      <c r="L71" s="13"/>
      <c r="M71" s="17">
        <v>0.2</v>
      </c>
      <c r="N71" s="17">
        <v>0.2</v>
      </c>
      <c r="O71" s="17">
        <v>0.2</v>
      </c>
      <c r="P71" s="17">
        <v>0.2</v>
      </c>
      <c r="Q71" s="17">
        <v>0.2</v>
      </c>
      <c r="R71" s="17">
        <v>0.2</v>
      </c>
      <c r="S71" s="17">
        <v>0.2</v>
      </c>
      <c r="T71" s="17">
        <v>0.2</v>
      </c>
      <c r="U71" s="17">
        <v>0.2</v>
      </c>
      <c r="V71" s="17">
        <v>0.2</v>
      </c>
    </row>
    <row r="72" spans="3:22" x14ac:dyDescent="0.15">
      <c r="C72" s="13"/>
      <c r="D72" s="12"/>
      <c r="E72" s="12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</row>
    <row r="73" spans="3:22" x14ac:dyDescent="0.15">
      <c r="C73" s="11" t="s">
        <v>30</v>
      </c>
      <c r="D73" s="12"/>
      <c r="E73" s="12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</row>
    <row r="74" spans="3:22" x14ac:dyDescent="0.15">
      <c r="C74" s="14" t="s">
        <v>31</v>
      </c>
      <c r="D74" s="12"/>
      <c r="E74" s="15">
        <f>+$E$11</f>
        <v>1</v>
      </c>
      <c r="F74" s="13"/>
      <c r="G74" s="13"/>
      <c r="H74" s="13"/>
      <c r="I74" s="13"/>
      <c r="J74" s="13"/>
      <c r="K74" s="13"/>
      <c r="L74" s="13"/>
      <c r="M74" s="22">
        <f>+CHOOSE($E74,M75,M76,M77)</f>
        <v>0</v>
      </c>
      <c r="N74" s="22">
        <f t="shared" ref="N74:V74" si="71">+CHOOSE($E74,N75,N76,N77)</f>
        <v>0</v>
      </c>
      <c r="O74" s="22">
        <f t="shared" si="71"/>
        <v>0</v>
      </c>
      <c r="P74" s="22">
        <f t="shared" si="71"/>
        <v>0</v>
      </c>
      <c r="Q74" s="22">
        <f t="shared" si="71"/>
        <v>0</v>
      </c>
      <c r="R74" s="22">
        <f t="shared" si="71"/>
        <v>0</v>
      </c>
      <c r="S74" s="22">
        <f t="shared" si="71"/>
        <v>0</v>
      </c>
      <c r="T74" s="22">
        <f t="shared" si="71"/>
        <v>0</v>
      </c>
      <c r="U74" s="22">
        <f t="shared" si="71"/>
        <v>0</v>
      </c>
      <c r="V74" s="22">
        <f t="shared" si="71"/>
        <v>0</v>
      </c>
    </row>
    <row r="75" spans="3:22" x14ac:dyDescent="0.15">
      <c r="C75" s="16" t="s">
        <v>13</v>
      </c>
      <c r="D75" s="12"/>
      <c r="E75" s="12"/>
      <c r="F75" s="13"/>
      <c r="G75" s="13"/>
      <c r="H75" s="13"/>
      <c r="I75" s="13"/>
      <c r="J75" s="13"/>
      <c r="K75" s="13"/>
      <c r="L75" s="13"/>
      <c r="M75" s="21">
        <v>0</v>
      </c>
      <c r="N75" s="21">
        <v>0</v>
      </c>
      <c r="O75" s="21">
        <v>0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</row>
    <row r="76" spans="3:22" x14ac:dyDescent="0.15">
      <c r="C76" s="16" t="s">
        <v>14</v>
      </c>
      <c r="D76" s="12"/>
      <c r="E76" s="12"/>
      <c r="F76" s="13"/>
      <c r="G76" s="13"/>
      <c r="H76" s="13"/>
      <c r="I76" s="13"/>
      <c r="J76" s="13"/>
      <c r="K76" s="13"/>
      <c r="L76" s="13"/>
      <c r="M76" s="21">
        <v>0</v>
      </c>
      <c r="N76" s="21">
        <v>0</v>
      </c>
      <c r="O76" s="21">
        <v>0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</row>
    <row r="77" spans="3:22" x14ac:dyDescent="0.15">
      <c r="C77" s="16" t="s">
        <v>19</v>
      </c>
      <c r="D77" s="12"/>
      <c r="E77" s="12"/>
      <c r="F77" s="13"/>
      <c r="G77" s="13"/>
      <c r="H77" s="13"/>
      <c r="I77" s="13"/>
      <c r="J77" s="13"/>
      <c r="K77" s="13"/>
      <c r="L77" s="13"/>
      <c r="M77" s="21">
        <v>0</v>
      </c>
      <c r="N77" s="21">
        <v>0</v>
      </c>
      <c r="O77" s="21">
        <v>0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</row>
    <row r="78" spans="3:22" x14ac:dyDescent="0.15">
      <c r="C78" s="13"/>
      <c r="D78" s="12"/>
      <c r="E78" s="12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</row>
    <row r="79" spans="3:22" x14ac:dyDescent="0.15">
      <c r="C79" s="11" t="s">
        <v>32</v>
      </c>
      <c r="D79" s="12"/>
      <c r="E79" s="12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</row>
    <row r="80" spans="3:22" x14ac:dyDescent="0.15">
      <c r="C80" s="14" t="s">
        <v>33</v>
      </c>
      <c r="D80" s="12"/>
      <c r="E80" s="15">
        <f>+$E$11</f>
        <v>1</v>
      </c>
      <c r="F80" s="13"/>
      <c r="G80" s="13"/>
      <c r="H80" s="13"/>
      <c r="I80" s="13"/>
      <c r="J80" s="13"/>
      <c r="K80" s="34">
        <f>+CHOOSE($E80,K81,K82,K83)</f>
        <v>5</v>
      </c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</row>
    <row r="81" spans="3:22" x14ac:dyDescent="0.15">
      <c r="C81" s="16" t="s">
        <v>13</v>
      </c>
      <c r="D81" s="12"/>
      <c r="E81" s="12"/>
      <c r="F81" s="13"/>
      <c r="G81" s="13"/>
      <c r="H81" s="13"/>
      <c r="I81" s="13"/>
      <c r="J81" s="13"/>
      <c r="K81" s="23">
        <v>5</v>
      </c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</row>
    <row r="82" spans="3:22" x14ac:dyDescent="0.15">
      <c r="C82" s="16" t="s">
        <v>14</v>
      </c>
      <c r="D82" s="12"/>
      <c r="E82" s="12"/>
      <c r="F82" s="13"/>
      <c r="G82" s="13"/>
      <c r="H82" s="13"/>
      <c r="I82" s="13"/>
      <c r="J82" s="13"/>
      <c r="K82" s="23">
        <v>4</v>
      </c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</row>
    <row r="83" spans="3:22" x14ac:dyDescent="0.15">
      <c r="C83" s="16" t="s">
        <v>19</v>
      </c>
      <c r="D83" s="12"/>
      <c r="E83" s="12"/>
      <c r="F83" s="13"/>
      <c r="G83" s="13"/>
      <c r="H83" s="13"/>
      <c r="I83" s="13"/>
      <c r="J83" s="13"/>
      <c r="K83" s="23">
        <v>6</v>
      </c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</row>
    <row r="84" spans="3:22" x14ac:dyDescent="0.15">
      <c r="C84" s="13"/>
      <c r="D84" s="12"/>
      <c r="E84" s="12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</row>
    <row r="85" spans="3:22" x14ac:dyDescent="0.15">
      <c r="C85" s="11" t="s">
        <v>34</v>
      </c>
      <c r="D85" s="12"/>
      <c r="E85" s="12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</row>
    <row r="86" spans="3:22" x14ac:dyDescent="0.15">
      <c r="C86" s="14" t="s">
        <v>34</v>
      </c>
      <c r="D86" s="12"/>
      <c r="E86" s="15">
        <f>+$E$11</f>
        <v>1</v>
      </c>
      <c r="F86" s="13"/>
      <c r="G86" s="13"/>
      <c r="H86" s="13"/>
      <c r="I86" s="13"/>
      <c r="J86" s="13"/>
      <c r="K86" s="13"/>
      <c r="L86" s="13"/>
      <c r="M86" s="18">
        <f>+CHOOSE($E86,M87,M88,M89)</f>
        <v>0.05</v>
      </c>
      <c r="N86" s="18">
        <f t="shared" ref="N86:V86" si="72">+CHOOSE($E86,N87,N88,N89)</f>
        <v>0.05</v>
      </c>
      <c r="O86" s="18">
        <f t="shared" si="72"/>
        <v>0.05</v>
      </c>
      <c r="P86" s="18">
        <f t="shared" si="72"/>
        <v>0.05</v>
      </c>
      <c r="Q86" s="18">
        <f t="shared" si="72"/>
        <v>0.05</v>
      </c>
      <c r="R86" s="18">
        <f t="shared" si="72"/>
        <v>0.05</v>
      </c>
      <c r="S86" s="18">
        <f t="shared" si="72"/>
        <v>0.05</v>
      </c>
      <c r="T86" s="18">
        <f t="shared" si="72"/>
        <v>0.05</v>
      </c>
      <c r="U86" s="18">
        <f t="shared" si="72"/>
        <v>0.05</v>
      </c>
      <c r="V86" s="18">
        <f t="shared" si="72"/>
        <v>0.05</v>
      </c>
    </row>
    <row r="87" spans="3:22" x14ac:dyDescent="0.15">
      <c r="C87" s="16" t="s">
        <v>13</v>
      </c>
      <c r="D87" s="12"/>
      <c r="E87" s="12"/>
      <c r="F87" s="13"/>
      <c r="G87" s="13"/>
      <c r="H87" s="13"/>
      <c r="I87" s="13"/>
      <c r="J87" s="13"/>
      <c r="K87" s="17">
        <v>0.05</v>
      </c>
      <c r="L87" s="13"/>
      <c r="M87" s="17">
        <v>0.05</v>
      </c>
      <c r="N87" s="17">
        <v>0.05</v>
      </c>
      <c r="O87" s="17">
        <v>0.05</v>
      </c>
      <c r="P87" s="17">
        <v>0.05</v>
      </c>
      <c r="Q87" s="17">
        <v>0.05</v>
      </c>
      <c r="R87" s="17">
        <v>0.05</v>
      </c>
      <c r="S87" s="17">
        <v>0.05</v>
      </c>
      <c r="T87" s="17">
        <v>0.05</v>
      </c>
      <c r="U87" s="17">
        <v>0.05</v>
      </c>
      <c r="V87" s="17">
        <v>0.05</v>
      </c>
    </row>
    <row r="88" spans="3:22" x14ac:dyDescent="0.15">
      <c r="C88" s="16" t="s">
        <v>14</v>
      </c>
      <c r="D88" s="12"/>
      <c r="E88" s="12"/>
      <c r="F88" s="13"/>
      <c r="G88" s="13"/>
      <c r="H88" s="13"/>
      <c r="I88" s="13"/>
      <c r="J88" s="13"/>
      <c r="K88" s="17">
        <v>0.05</v>
      </c>
      <c r="L88" s="13"/>
      <c r="M88" s="17">
        <v>0.05</v>
      </c>
      <c r="N88" s="17">
        <v>0.05</v>
      </c>
      <c r="O88" s="17">
        <v>0.05</v>
      </c>
      <c r="P88" s="17">
        <v>0.05</v>
      </c>
      <c r="Q88" s="17">
        <v>0.05</v>
      </c>
      <c r="R88" s="17">
        <v>0.05</v>
      </c>
      <c r="S88" s="17">
        <v>0.05</v>
      </c>
      <c r="T88" s="17">
        <v>0.05</v>
      </c>
      <c r="U88" s="17">
        <v>0.05</v>
      </c>
      <c r="V88" s="17">
        <v>0.05</v>
      </c>
    </row>
    <row r="89" spans="3:22" x14ac:dyDescent="0.15">
      <c r="C89" s="16" t="s">
        <v>19</v>
      </c>
      <c r="D89" s="12"/>
      <c r="E89" s="12"/>
      <c r="F89" s="13"/>
      <c r="G89" s="13"/>
      <c r="H89" s="13"/>
      <c r="I89" s="13"/>
      <c r="J89" s="13"/>
      <c r="K89" s="17">
        <v>0.05</v>
      </c>
      <c r="L89" s="13"/>
      <c r="M89" s="17">
        <v>0.05</v>
      </c>
      <c r="N89" s="17">
        <v>0.05</v>
      </c>
      <c r="O89" s="17">
        <v>0.05</v>
      </c>
      <c r="P89" s="17">
        <v>0.05</v>
      </c>
      <c r="Q89" s="17">
        <v>0.05</v>
      </c>
      <c r="R89" s="17">
        <v>0.05</v>
      </c>
      <c r="S89" s="17">
        <v>0.05</v>
      </c>
      <c r="T89" s="17">
        <v>0.05</v>
      </c>
      <c r="U89" s="17">
        <v>0.05</v>
      </c>
      <c r="V89" s="17">
        <v>0.05</v>
      </c>
    </row>
    <row r="91" spans="3:22" x14ac:dyDescent="0.15">
      <c r="C91" s="9"/>
      <c r="D91" s="10"/>
      <c r="E91" s="10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EAFC8-6EAA-4248-8016-B00517AD194C}">
  <dimension ref="A1:V65"/>
  <sheetViews>
    <sheetView showGridLines="0" zoomScale="70" zoomScaleNormal="70" workbookViewId="0">
      <pane xSplit="5" ySplit="9" topLeftCell="F10" activePane="bottomRight" state="frozen"/>
      <selection pane="topRight" activeCell="F1" sqref="F1"/>
      <selection pane="bottomLeft" activeCell="A10" sqref="A10"/>
      <selection pane="bottomRight" activeCell="F48" sqref="F48"/>
    </sheetView>
  </sheetViews>
  <sheetFormatPr baseColWidth="10" defaultColWidth="8.83203125" defaultRowHeight="14" x14ac:dyDescent="0.15"/>
  <cols>
    <col min="1" max="2" width="1.1640625" customWidth="1"/>
    <col min="3" max="3" width="27.1640625" bestFit="1" customWidth="1"/>
  </cols>
  <sheetData>
    <row r="1" spans="1:22" x14ac:dyDescent="0.15">
      <c r="A1" s="3"/>
      <c r="B1" s="3"/>
      <c r="C1" s="3"/>
      <c r="D1" s="4"/>
      <c r="E1" s="4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x14ac:dyDescent="0.15">
      <c r="A2" s="3"/>
      <c r="B2" s="3"/>
      <c r="C2" s="3"/>
      <c r="D2" s="4"/>
      <c r="E2" s="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2" x14ac:dyDescent="0.15">
      <c r="A3" s="3"/>
      <c r="B3" s="3"/>
      <c r="C3" s="3" t="s">
        <v>6</v>
      </c>
      <c r="D3" s="4"/>
      <c r="E3" s="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2" x14ac:dyDescent="0.15">
      <c r="A4" s="3"/>
      <c r="B4" s="3"/>
      <c r="C4" s="24">
        <v>44256</v>
      </c>
      <c r="D4" s="4"/>
      <c r="E4" s="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pans="1:22" x14ac:dyDescent="0.15">
      <c r="A5" s="3"/>
      <c r="B5" s="3"/>
      <c r="C5" s="3" t="s">
        <v>38</v>
      </c>
      <c r="D5" s="4"/>
      <c r="E5" s="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</row>
    <row r="6" spans="1:22" x14ac:dyDescent="0.15">
      <c r="A6" s="3"/>
      <c r="B6" s="3"/>
      <c r="C6" s="3"/>
      <c r="D6" s="4"/>
      <c r="E6" s="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x14ac:dyDescent="0.15">
      <c r="C7" s="5" t="s">
        <v>7</v>
      </c>
      <c r="K7" s="6">
        <v>0</v>
      </c>
      <c r="M7" s="7">
        <f>+K7+1</f>
        <v>1</v>
      </c>
      <c r="N7" s="7">
        <f>+M7+1</f>
        <v>2</v>
      </c>
      <c r="O7" s="7">
        <f t="shared" ref="O7:V9" si="0">+N7+1</f>
        <v>3</v>
      </c>
      <c r="P7" s="7">
        <f t="shared" si="0"/>
        <v>4</v>
      </c>
      <c r="Q7" s="7">
        <f t="shared" si="0"/>
        <v>5</v>
      </c>
      <c r="R7" s="7">
        <f t="shared" si="0"/>
        <v>6</v>
      </c>
      <c r="S7" s="7">
        <f t="shared" si="0"/>
        <v>7</v>
      </c>
      <c r="T7" s="7">
        <f t="shared" si="0"/>
        <v>8</v>
      </c>
      <c r="U7" s="7">
        <f t="shared" si="0"/>
        <v>9</v>
      </c>
      <c r="V7" s="7">
        <f t="shared" si="0"/>
        <v>10</v>
      </c>
    </row>
    <row r="8" spans="1:22" x14ac:dyDescent="0.15">
      <c r="C8" s="5" t="s">
        <v>8</v>
      </c>
      <c r="K8" s="6">
        <v>0</v>
      </c>
      <c r="M8" s="7">
        <f>+K8+0.5</f>
        <v>0.5</v>
      </c>
      <c r="N8" s="7">
        <f>+M8+1</f>
        <v>1.5</v>
      </c>
      <c r="O8" s="7">
        <f t="shared" si="0"/>
        <v>2.5</v>
      </c>
      <c r="P8" s="7">
        <f t="shared" si="0"/>
        <v>3.5</v>
      </c>
      <c r="Q8" s="7">
        <f t="shared" si="0"/>
        <v>4.5</v>
      </c>
      <c r="R8" s="7">
        <f t="shared" si="0"/>
        <v>5.5</v>
      </c>
      <c r="S8" s="7">
        <f t="shared" si="0"/>
        <v>6.5</v>
      </c>
      <c r="T8" s="7">
        <f t="shared" si="0"/>
        <v>7.5</v>
      </c>
      <c r="U8" s="7">
        <f t="shared" si="0"/>
        <v>8.5</v>
      </c>
      <c r="V8" s="7">
        <f t="shared" si="0"/>
        <v>9.5</v>
      </c>
    </row>
    <row r="9" spans="1:22" x14ac:dyDescent="0.15">
      <c r="C9" s="5" t="s">
        <v>9</v>
      </c>
      <c r="F9" s="72">
        <f t="shared" ref="F9:I9" ca="1" si="1">+G9-1</f>
        <v>2019</v>
      </c>
      <c r="G9" s="72">
        <f t="shared" ca="1" si="1"/>
        <v>2020</v>
      </c>
      <c r="H9" s="72">
        <f t="shared" ca="1" si="1"/>
        <v>2021</v>
      </c>
      <c r="I9" s="72">
        <f t="shared" ca="1" si="1"/>
        <v>2022</v>
      </c>
      <c r="J9" s="72">
        <f ca="1">+K9-1</f>
        <v>2023</v>
      </c>
      <c r="K9" s="25">
        <f ca="1">+'Operational Assumptions'!K9</f>
        <v>2024</v>
      </c>
      <c r="M9" s="27">
        <f ca="1">+K9+1</f>
        <v>2025</v>
      </c>
      <c r="N9" s="27">
        <f ca="1">+M9+1</f>
        <v>2026</v>
      </c>
      <c r="O9" s="27">
        <f t="shared" ca="1" si="0"/>
        <v>2027</v>
      </c>
      <c r="P9" s="27">
        <f t="shared" ca="1" si="0"/>
        <v>2028</v>
      </c>
      <c r="Q9" s="27">
        <f t="shared" ca="1" si="0"/>
        <v>2029</v>
      </c>
      <c r="R9" s="27">
        <f t="shared" ca="1" si="0"/>
        <v>2030</v>
      </c>
      <c r="S9" s="27">
        <f t="shared" ca="1" si="0"/>
        <v>2031</v>
      </c>
      <c r="T9" s="27">
        <f t="shared" ca="1" si="0"/>
        <v>2032</v>
      </c>
      <c r="U9" s="27">
        <f t="shared" ca="1" si="0"/>
        <v>2033</v>
      </c>
      <c r="V9" s="27">
        <f t="shared" ca="1" si="0"/>
        <v>2034</v>
      </c>
    </row>
    <row r="11" spans="1:22" x14ac:dyDescent="0.15">
      <c r="C11" s="8" t="s">
        <v>39</v>
      </c>
    </row>
    <row r="13" spans="1:22" x14ac:dyDescent="0.15">
      <c r="C13" s="13" t="s">
        <v>40</v>
      </c>
      <c r="D13" s="13"/>
      <c r="E13" s="13"/>
      <c r="F13" s="21">
        <v>15</v>
      </c>
      <c r="G13" s="21">
        <v>15</v>
      </c>
      <c r="H13" s="21">
        <v>15</v>
      </c>
      <c r="I13" s="21">
        <v>15</v>
      </c>
      <c r="J13" s="21">
        <v>15</v>
      </c>
      <c r="K13" s="21">
        <v>20</v>
      </c>
      <c r="L13" s="38"/>
      <c r="M13" s="20">
        <f>+K13*(1+M14)</f>
        <v>22</v>
      </c>
      <c r="N13" s="20">
        <f>+M13*(1+N14)</f>
        <v>24.200000000000003</v>
      </c>
      <c r="O13" s="20">
        <f t="shared" ref="O13:V13" si="2">+N13*(1+O14)</f>
        <v>26.620000000000005</v>
      </c>
      <c r="P13" s="20">
        <f t="shared" si="2"/>
        <v>29.282000000000007</v>
      </c>
      <c r="Q13" s="20">
        <f t="shared" si="2"/>
        <v>32.210200000000007</v>
      </c>
      <c r="R13" s="20">
        <f t="shared" si="2"/>
        <v>35.43122000000001</v>
      </c>
      <c r="S13" s="20">
        <f t="shared" si="2"/>
        <v>38.974342000000014</v>
      </c>
      <c r="T13" s="20">
        <f t="shared" si="2"/>
        <v>42.871776200000021</v>
      </c>
      <c r="U13" s="20">
        <f t="shared" si="2"/>
        <v>47.158953820000029</v>
      </c>
      <c r="V13" s="20">
        <f t="shared" si="2"/>
        <v>51.874849202000036</v>
      </c>
    </row>
    <row r="14" spans="1:22" x14ac:dyDescent="0.15">
      <c r="C14" s="39" t="s">
        <v>12</v>
      </c>
      <c r="D14" s="40"/>
      <c r="E14" s="40"/>
      <c r="F14" s="40"/>
      <c r="G14" s="40"/>
      <c r="H14" s="40"/>
      <c r="I14" s="40"/>
      <c r="J14" s="40"/>
      <c r="K14" s="41">
        <f>+K13/J13-1</f>
        <v>0.33333333333333326</v>
      </c>
      <c r="L14" s="42"/>
      <c r="M14" s="43">
        <f>+'Operational Assumptions'!M22</f>
        <v>0.1</v>
      </c>
      <c r="N14" s="43">
        <f>+'Operational Assumptions'!N22</f>
        <v>0.1</v>
      </c>
      <c r="O14" s="43">
        <f>+'Operational Assumptions'!O22</f>
        <v>0.1</v>
      </c>
      <c r="P14" s="43">
        <f>+'Operational Assumptions'!P22</f>
        <v>0.1</v>
      </c>
      <c r="Q14" s="43">
        <f>+'Operational Assumptions'!Q22</f>
        <v>0.1</v>
      </c>
      <c r="R14" s="43">
        <f>+'Operational Assumptions'!R22</f>
        <v>0.1</v>
      </c>
      <c r="S14" s="43">
        <f>+'Operational Assumptions'!S22</f>
        <v>0.1</v>
      </c>
      <c r="T14" s="43">
        <f>+'Operational Assumptions'!T22</f>
        <v>0.1</v>
      </c>
      <c r="U14" s="43">
        <f>+'Operational Assumptions'!U22</f>
        <v>0.1</v>
      </c>
      <c r="V14" s="43">
        <f>+'Operational Assumptions'!V22</f>
        <v>0.1</v>
      </c>
    </row>
    <row r="15" spans="1:22" x14ac:dyDescent="0.15">
      <c r="C15" s="13" t="s">
        <v>41</v>
      </c>
      <c r="D15" s="13"/>
      <c r="E15" s="13"/>
      <c r="F15" s="21">
        <v>10</v>
      </c>
      <c r="G15" s="21">
        <v>10</v>
      </c>
      <c r="H15" s="21">
        <v>10</v>
      </c>
      <c r="I15" s="21">
        <v>10</v>
      </c>
      <c r="J15" s="21">
        <v>10</v>
      </c>
      <c r="K15" s="21">
        <v>13</v>
      </c>
      <c r="L15" s="38"/>
      <c r="M15" s="20">
        <f>+K15*(1+M16)</f>
        <v>14.3</v>
      </c>
      <c r="N15" s="20">
        <f>+M15*(1+N16)</f>
        <v>15.730000000000002</v>
      </c>
      <c r="O15" s="20">
        <f t="shared" ref="O15" si="3">+N15*(1+O16)</f>
        <v>17.303000000000004</v>
      </c>
      <c r="P15" s="20">
        <f t="shared" ref="P15" si="4">+O15*(1+P16)</f>
        <v>19.033300000000008</v>
      </c>
      <c r="Q15" s="20">
        <f t="shared" ref="Q15" si="5">+P15*(1+Q16)</f>
        <v>20.936630000000012</v>
      </c>
      <c r="R15" s="20">
        <f t="shared" ref="R15" si="6">+Q15*(1+R16)</f>
        <v>23.030293000000015</v>
      </c>
      <c r="S15" s="20">
        <f t="shared" ref="S15" si="7">+R15*(1+S16)</f>
        <v>25.333322300000017</v>
      </c>
      <c r="T15" s="20">
        <f t="shared" ref="T15" si="8">+S15*(1+T16)</f>
        <v>27.866654530000019</v>
      </c>
      <c r="U15" s="20">
        <f t="shared" ref="U15" si="9">+T15*(1+U16)</f>
        <v>30.653319983000024</v>
      </c>
      <c r="V15" s="20">
        <f t="shared" ref="V15" si="10">+U15*(1+V16)</f>
        <v>33.718651981300027</v>
      </c>
    </row>
    <row r="16" spans="1:22" x14ac:dyDescent="0.15">
      <c r="C16" s="39" t="s">
        <v>12</v>
      </c>
      <c r="D16" s="40"/>
      <c r="E16" s="40"/>
      <c r="F16" s="40"/>
      <c r="G16" s="40"/>
      <c r="H16" s="40"/>
      <c r="I16" s="40"/>
      <c r="J16" s="40"/>
      <c r="K16" s="41">
        <f>+K15/J15-1</f>
        <v>0.30000000000000004</v>
      </c>
      <c r="L16" s="42"/>
      <c r="M16" s="43">
        <f>+'Operational Assumptions'!M27</f>
        <v>0.1</v>
      </c>
      <c r="N16" s="43">
        <f>+'Operational Assumptions'!N27</f>
        <v>0.1</v>
      </c>
      <c r="O16" s="43">
        <f>+'Operational Assumptions'!O27</f>
        <v>0.1</v>
      </c>
      <c r="P16" s="43">
        <f>+'Operational Assumptions'!P27</f>
        <v>0.1</v>
      </c>
      <c r="Q16" s="43">
        <f>+'Operational Assumptions'!Q27</f>
        <v>0.1</v>
      </c>
      <c r="R16" s="43">
        <f>+'Operational Assumptions'!R27</f>
        <v>0.1</v>
      </c>
      <c r="S16" s="43">
        <f>+'Operational Assumptions'!S27</f>
        <v>0.1</v>
      </c>
      <c r="T16" s="43">
        <f>+'Operational Assumptions'!T27</f>
        <v>0.1</v>
      </c>
      <c r="U16" s="43">
        <f>+'Operational Assumptions'!U27</f>
        <v>0.1</v>
      </c>
      <c r="V16" s="43">
        <f>+'Operational Assumptions'!V27</f>
        <v>0.1</v>
      </c>
    </row>
    <row r="17" spans="3:22" x14ac:dyDescent="0.15">
      <c r="C17" s="13" t="s">
        <v>42</v>
      </c>
      <c r="D17" s="13"/>
      <c r="E17" s="13"/>
      <c r="F17" s="21">
        <v>1</v>
      </c>
      <c r="G17" s="21">
        <v>1</v>
      </c>
      <c r="H17" s="21">
        <v>1</v>
      </c>
      <c r="I17" s="21">
        <v>1</v>
      </c>
      <c r="J17" s="21">
        <v>1</v>
      </c>
      <c r="K17" s="21">
        <v>3</v>
      </c>
      <c r="L17" s="38"/>
      <c r="M17" s="20">
        <f>+K17*(1+M18)</f>
        <v>3.1500000000000004</v>
      </c>
      <c r="N17" s="20">
        <f>+M17*(1+N18)</f>
        <v>3.3075000000000006</v>
      </c>
      <c r="O17" s="20">
        <f t="shared" ref="O17" si="11">+N17*(1+O18)</f>
        <v>3.4728750000000006</v>
      </c>
      <c r="P17" s="20">
        <f t="shared" ref="P17" si="12">+O17*(1+P18)</f>
        <v>3.6465187500000007</v>
      </c>
      <c r="Q17" s="20">
        <f t="shared" ref="Q17" si="13">+P17*(1+Q18)</f>
        <v>3.8288446875000011</v>
      </c>
      <c r="R17" s="20">
        <f t="shared" ref="R17" si="14">+Q17*(1+R18)</f>
        <v>4.0202869218750017</v>
      </c>
      <c r="S17" s="20">
        <f t="shared" ref="S17" si="15">+R17*(1+S18)</f>
        <v>4.2213012679687516</v>
      </c>
      <c r="T17" s="20">
        <f t="shared" ref="T17" si="16">+S17*(1+T18)</f>
        <v>4.4323663313671897</v>
      </c>
      <c r="U17" s="20">
        <f t="shared" ref="U17" si="17">+T17*(1+U18)</f>
        <v>4.6539846479355491</v>
      </c>
      <c r="V17" s="20">
        <f t="shared" ref="V17" si="18">+U17*(1+V18)</f>
        <v>4.8866838803323267</v>
      </c>
    </row>
    <row r="18" spans="3:22" x14ac:dyDescent="0.15">
      <c r="C18" s="39" t="s">
        <v>12</v>
      </c>
      <c r="D18" s="40"/>
      <c r="E18" s="40"/>
      <c r="F18" s="40"/>
      <c r="G18" s="40"/>
      <c r="H18" s="40"/>
      <c r="I18" s="40"/>
      <c r="J18" s="40"/>
      <c r="K18" s="41">
        <f>+K17/J17-1</f>
        <v>2</v>
      </c>
      <c r="L18" s="42"/>
      <c r="M18" s="43">
        <f>+'Operational Assumptions'!M32</f>
        <v>0.05</v>
      </c>
      <c r="N18" s="43">
        <f>+'Operational Assumptions'!N32</f>
        <v>0.05</v>
      </c>
      <c r="O18" s="43">
        <f>+'Operational Assumptions'!O32</f>
        <v>0.05</v>
      </c>
      <c r="P18" s="43">
        <f>+'Operational Assumptions'!P32</f>
        <v>0.05</v>
      </c>
      <c r="Q18" s="43">
        <f>+'Operational Assumptions'!Q32</f>
        <v>0.05</v>
      </c>
      <c r="R18" s="43">
        <f>+'Operational Assumptions'!R32</f>
        <v>0.05</v>
      </c>
      <c r="S18" s="43">
        <f>+'Operational Assumptions'!S32</f>
        <v>0.05</v>
      </c>
      <c r="T18" s="43">
        <f>+'Operational Assumptions'!T32</f>
        <v>0.05</v>
      </c>
      <c r="U18" s="43">
        <f>+'Operational Assumptions'!U32</f>
        <v>0.05</v>
      </c>
      <c r="V18" s="43">
        <f>+'Operational Assumptions'!V32</f>
        <v>0.05</v>
      </c>
    </row>
    <row r="19" spans="3:22" x14ac:dyDescent="0.15">
      <c r="C19" s="44" t="s">
        <v>43</v>
      </c>
      <c r="D19" s="44"/>
      <c r="E19" s="44"/>
      <c r="F19" s="48">
        <f t="shared" ref="F19:J19" si="19">+F17+F15+F13</f>
        <v>26</v>
      </c>
      <c r="G19" s="48">
        <f t="shared" si="19"/>
        <v>26</v>
      </c>
      <c r="H19" s="48">
        <f t="shared" si="19"/>
        <v>26</v>
      </c>
      <c r="I19" s="48">
        <f t="shared" si="19"/>
        <v>26</v>
      </c>
      <c r="J19" s="48">
        <f t="shared" si="19"/>
        <v>26</v>
      </c>
      <c r="K19" s="48">
        <f>+K17+K15+K13</f>
        <v>36</v>
      </c>
      <c r="L19" s="44"/>
      <c r="M19" s="45">
        <f>+M17+M15+M13</f>
        <v>39.450000000000003</v>
      </c>
      <c r="N19" s="45">
        <f t="shared" ref="N19:V19" si="20">+N17+N15+N13</f>
        <v>43.237500000000004</v>
      </c>
      <c r="O19" s="45">
        <f t="shared" si="20"/>
        <v>47.395875000000011</v>
      </c>
      <c r="P19" s="45">
        <f t="shared" si="20"/>
        <v>51.96181875000002</v>
      </c>
      <c r="Q19" s="45">
        <f t="shared" si="20"/>
        <v>56.975674687500018</v>
      </c>
      <c r="R19" s="45">
        <f t="shared" si="20"/>
        <v>62.481799921875023</v>
      </c>
      <c r="S19" s="45">
        <f t="shared" si="20"/>
        <v>68.528965567968783</v>
      </c>
      <c r="T19" s="45">
        <f t="shared" si="20"/>
        <v>75.170797061367239</v>
      </c>
      <c r="U19" s="45">
        <f t="shared" si="20"/>
        <v>82.466258450935612</v>
      </c>
      <c r="V19" s="45">
        <f t="shared" si="20"/>
        <v>90.480185063632391</v>
      </c>
    </row>
    <row r="20" spans="3:22" x14ac:dyDescent="0.15">
      <c r="C20" s="39" t="s">
        <v>12</v>
      </c>
      <c r="D20" s="40"/>
      <c r="E20" s="40"/>
      <c r="F20" s="40"/>
      <c r="G20" s="40"/>
      <c r="H20" s="40"/>
      <c r="I20" s="40"/>
      <c r="J20" s="40"/>
      <c r="K20" s="41">
        <f>+K19/J19-1</f>
        <v>0.38461538461538458</v>
      </c>
      <c r="L20" s="42"/>
      <c r="M20" s="49">
        <f>+M19/K19-1</f>
        <v>9.5833333333333437E-2</v>
      </c>
      <c r="N20" s="49">
        <f>+N19/M19-1</f>
        <v>9.6007604562737603E-2</v>
      </c>
      <c r="O20" s="49">
        <f t="shared" ref="O20:V20" si="21">+O19/N19-1</f>
        <v>9.617519514310513E-2</v>
      </c>
      <c r="P20" s="49">
        <f t="shared" si="21"/>
        <v>9.6336310913133438E-2</v>
      </c>
      <c r="Q20" s="49">
        <f t="shared" si="21"/>
        <v>9.649115558527277E-2</v>
      </c>
      <c r="R20" s="49">
        <f t="shared" si="21"/>
        <v>9.6639930366335891E-2</v>
      </c>
      <c r="S20" s="49">
        <f t="shared" si="21"/>
        <v>9.6782833619628805E-2</v>
      </c>
      <c r="T20" s="49">
        <f t="shared" si="21"/>
        <v>9.6920060566373367E-2</v>
      </c>
      <c r="U20" s="49">
        <f t="shared" si="21"/>
        <v>9.7051803024152727E-2</v>
      </c>
      <c r="V20" s="49">
        <f t="shared" si="21"/>
        <v>9.7178249180114973E-2</v>
      </c>
    </row>
    <row r="21" spans="3:22" x14ac:dyDescent="0.15">
      <c r="C21" s="13" t="s">
        <v>40</v>
      </c>
      <c r="D21" s="13"/>
      <c r="E21" s="13"/>
      <c r="F21" s="21">
        <v>5</v>
      </c>
      <c r="G21" s="21">
        <v>5</v>
      </c>
      <c r="H21" s="21">
        <v>5</v>
      </c>
      <c r="I21" s="21">
        <v>5</v>
      </c>
      <c r="J21" s="21">
        <v>5</v>
      </c>
      <c r="K21" s="21">
        <v>10</v>
      </c>
      <c r="L21" s="38"/>
      <c r="M21" s="20">
        <f>+M22*M13</f>
        <v>7.6999999999999993</v>
      </c>
      <c r="N21" s="20">
        <f t="shared" ref="N21:V21" si="22">+N22*N13</f>
        <v>8.4700000000000006</v>
      </c>
      <c r="O21" s="20">
        <f t="shared" si="22"/>
        <v>9.3170000000000002</v>
      </c>
      <c r="P21" s="20">
        <f t="shared" si="22"/>
        <v>10.248700000000001</v>
      </c>
      <c r="Q21" s="20">
        <f t="shared" si="22"/>
        <v>11.273570000000001</v>
      </c>
      <c r="R21" s="20">
        <f t="shared" si="22"/>
        <v>12.400927000000003</v>
      </c>
      <c r="S21" s="20">
        <f t="shared" si="22"/>
        <v>13.641019700000005</v>
      </c>
      <c r="T21" s="20">
        <f t="shared" si="22"/>
        <v>15.005121670000007</v>
      </c>
      <c r="U21" s="20">
        <f t="shared" si="22"/>
        <v>16.505633837000008</v>
      </c>
      <c r="V21" s="20">
        <f t="shared" si="22"/>
        <v>18.156197220700012</v>
      </c>
    </row>
    <row r="22" spans="3:22" x14ac:dyDescent="0.15">
      <c r="C22" s="39" t="s">
        <v>45</v>
      </c>
      <c r="D22" s="40"/>
      <c r="E22" s="40"/>
      <c r="F22" s="41">
        <f t="shared" ref="F22:J22" si="23">+F21/F13</f>
        <v>0.33333333333333331</v>
      </c>
      <c r="G22" s="41">
        <f t="shared" si="23"/>
        <v>0.33333333333333331</v>
      </c>
      <c r="H22" s="41">
        <f t="shared" si="23"/>
        <v>0.33333333333333331</v>
      </c>
      <c r="I22" s="41">
        <f t="shared" si="23"/>
        <v>0.33333333333333331</v>
      </c>
      <c r="J22" s="41">
        <f t="shared" si="23"/>
        <v>0.33333333333333331</v>
      </c>
      <c r="K22" s="41">
        <f>+K21/K13</f>
        <v>0.5</v>
      </c>
      <c r="L22" s="42"/>
      <c r="M22" s="43">
        <f>+'Operational Assumptions'!M38</f>
        <v>0.35</v>
      </c>
      <c r="N22" s="43">
        <f>+'Operational Assumptions'!N38</f>
        <v>0.35</v>
      </c>
      <c r="O22" s="43">
        <f>+'Operational Assumptions'!O38</f>
        <v>0.35</v>
      </c>
      <c r="P22" s="43">
        <f>+'Operational Assumptions'!P38</f>
        <v>0.35</v>
      </c>
      <c r="Q22" s="43">
        <f>+'Operational Assumptions'!Q38</f>
        <v>0.35</v>
      </c>
      <c r="R22" s="43">
        <f>+'Operational Assumptions'!R38</f>
        <v>0.35</v>
      </c>
      <c r="S22" s="43">
        <f>+'Operational Assumptions'!S38</f>
        <v>0.35</v>
      </c>
      <c r="T22" s="43">
        <f>+'Operational Assumptions'!T38</f>
        <v>0.35</v>
      </c>
      <c r="U22" s="43">
        <f>+'Operational Assumptions'!U38</f>
        <v>0.35</v>
      </c>
      <c r="V22" s="43">
        <f>+'Operational Assumptions'!V38</f>
        <v>0.35</v>
      </c>
    </row>
    <row r="23" spans="3:22" x14ac:dyDescent="0.15">
      <c r="C23" s="13" t="s">
        <v>41</v>
      </c>
      <c r="D23" s="13"/>
      <c r="E23" s="13"/>
      <c r="F23" s="21">
        <v>3</v>
      </c>
      <c r="G23" s="21">
        <v>3</v>
      </c>
      <c r="H23" s="21">
        <v>3</v>
      </c>
      <c r="I23" s="21">
        <v>3</v>
      </c>
      <c r="J23" s="21">
        <v>3</v>
      </c>
      <c r="K23" s="21">
        <v>5</v>
      </c>
      <c r="L23" s="38"/>
      <c r="M23" s="20">
        <f>+M24*M15</f>
        <v>5.0049999999999999</v>
      </c>
      <c r="N23" s="20">
        <f t="shared" ref="N23:V23" si="24">+N24*N15</f>
        <v>5.5055000000000005</v>
      </c>
      <c r="O23" s="20">
        <f t="shared" si="24"/>
        <v>6.0560500000000008</v>
      </c>
      <c r="P23" s="20">
        <f t="shared" si="24"/>
        <v>6.6616550000000023</v>
      </c>
      <c r="Q23" s="20">
        <f t="shared" si="24"/>
        <v>7.3278205000000032</v>
      </c>
      <c r="R23" s="20">
        <f t="shared" si="24"/>
        <v>8.060602550000004</v>
      </c>
      <c r="S23" s="20">
        <f t="shared" si="24"/>
        <v>8.866662805000006</v>
      </c>
      <c r="T23" s="20">
        <f t="shared" si="24"/>
        <v>9.7533290855000061</v>
      </c>
      <c r="U23" s="20">
        <f t="shared" si="24"/>
        <v>10.728661994050007</v>
      </c>
      <c r="V23" s="20">
        <f t="shared" si="24"/>
        <v>11.80152819345501</v>
      </c>
    </row>
    <row r="24" spans="3:22" x14ac:dyDescent="0.15">
      <c r="C24" s="39" t="s">
        <v>45</v>
      </c>
      <c r="D24" s="40"/>
      <c r="E24" s="40"/>
      <c r="F24" s="41">
        <f t="shared" ref="F24:J24" si="25">+F23/F15</f>
        <v>0.3</v>
      </c>
      <c r="G24" s="41">
        <f t="shared" si="25"/>
        <v>0.3</v>
      </c>
      <c r="H24" s="41">
        <f t="shared" si="25"/>
        <v>0.3</v>
      </c>
      <c r="I24" s="41">
        <f t="shared" si="25"/>
        <v>0.3</v>
      </c>
      <c r="J24" s="41">
        <f t="shared" si="25"/>
        <v>0.3</v>
      </c>
      <c r="K24" s="41">
        <f>+K23/K15</f>
        <v>0.38461538461538464</v>
      </c>
      <c r="L24" s="42"/>
      <c r="M24" s="43">
        <f>+'Operational Assumptions'!M43</f>
        <v>0.35</v>
      </c>
      <c r="N24" s="43">
        <f>+'Operational Assumptions'!N43</f>
        <v>0.35</v>
      </c>
      <c r="O24" s="43">
        <f>+'Operational Assumptions'!O43</f>
        <v>0.35</v>
      </c>
      <c r="P24" s="43">
        <f>+'Operational Assumptions'!P43</f>
        <v>0.35</v>
      </c>
      <c r="Q24" s="43">
        <f>+'Operational Assumptions'!Q43</f>
        <v>0.35</v>
      </c>
      <c r="R24" s="43">
        <f>+'Operational Assumptions'!R43</f>
        <v>0.35</v>
      </c>
      <c r="S24" s="43">
        <f>+'Operational Assumptions'!S43</f>
        <v>0.35</v>
      </c>
      <c r="T24" s="43">
        <f>+'Operational Assumptions'!T43</f>
        <v>0.35</v>
      </c>
      <c r="U24" s="43">
        <f>+'Operational Assumptions'!U43</f>
        <v>0.35</v>
      </c>
      <c r="V24" s="43">
        <f>+'Operational Assumptions'!V43</f>
        <v>0.35</v>
      </c>
    </row>
    <row r="25" spans="3:22" x14ac:dyDescent="0.15">
      <c r="C25" s="13" t="s">
        <v>42</v>
      </c>
      <c r="D25" s="13"/>
      <c r="E25" s="13"/>
      <c r="F25" s="21">
        <v>1</v>
      </c>
      <c r="G25" s="21">
        <v>1</v>
      </c>
      <c r="H25" s="21">
        <v>1</v>
      </c>
      <c r="I25" s="21">
        <v>1</v>
      </c>
      <c r="J25" s="21">
        <v>1</v>
      </c>
      <c r="K25" s="21">
        <v>2</v>
      </c>
      <c r="L25" s="38"/>
      <c r="M25" s="20">
        <f>+M26*M17</f>
        <v>1.1025</v>
      </c>
      <c r="N25" s="20">
        <f t="shared" ref="N25:V25" si="26">+N26*N17</f>
        <v>1.1576250000000001</v>
      </c>
      <c r="O25" s="20">
        <f t="shared" si="26"/>
        <v>1.2155062500000002</v>
      </c>
      <c r="P25" s="20">
        <f t="shared" si="26"/>
        <v>1.2762815625000001</v>
      </c>
      <c r="Q25" s="20">
        <f t="shared" si="26"/>
        <v>1.3400956406250002</v>
      </c>
      <c r="R25" s="20">
        <f t="shared" si="26"/>
        <v>1.4071004226562505</v>
      </c>
      <c r="S25" s="20">
        <f t="shared" si="26"/>
        <v>1.477455443789063</v>
      </c>
      <c r="T25" s="20">
        <f t="shared" si="26"/>
        <v>1.5513282159785162</v>
      </c>
      <c r="U25" s="20">
        <f t="shared" si="26"/>
        <v>1.628894626777442</v>
      </c>
      <c r="V25" s="20">
        <f t="shared" si="26"/>
        <v>1.7103393581163142</v>
      </c>
    </row>
    <row r="26" spans="3:22" x14ac:dyDescent="0.15">
      <c r="C26" s="39" t="s">
        <v>45</v>
      </c>
      <c r="D26" s="40"/>
      <c r="E26" s="40"/>
      <c r="F26" s="41">
        <f t="shared" ref="F26:J26" si="27">+F25/F17</f>
        <v>1</v>
      </c>
      <c r="G26" s="41">
        <f t="shared" si="27"/>
        <v>1</v>
      </c>
      <c r="H26" s="41">
        <f t="shared" si="27"/>
        <v>1</v>
      </c>
      <c r="I26" s="41">
        <f t="shared" si="27"/>
        <v>1</v>
      </c>
      <c r="J26" s="41">
        <f t="shared" si="27"/>
        <v>1</v>
      </c>
      <c r="K26" s="41">
        <f>+K25/K17</f>
        <v>0.66666666666666663</v>
      </c>
      <c r="L26" s="42"/>
      <c r="M26" s="43">
        <f>+'Operational Assumptions'!M48</f>
        <v>0.35</v>
      </c>
      <c r="N26" s="43">
        <f>+'Operational Assumptions'!N48</f>
        <v>0.35</v>
      </c>
      <c r="O26" s="43">
        <f>+'Operational Assumptions'!O48</f>
        <v>0.35</v>
      </c>
      <c r="P26" s="43">
        <f>+'Operational Assumptions'!P48</f>
        <v>0.35</v>
      </c>
      <c r="Q26" s="43">
        <f>+'Operational Assumptions'!Q48</f>
        <v>0.35</v>
      </c>
      <c r="R26" s="43">
        <f>+'Operational Assumptions'!R48</f>
        <v>0.35</v>
      </c>
      <c r="S26" s="43">
        <f>+'Operational Assumptions'!S48</f>
        <v>0.35</v>
      </c>
      <c r="T26" s="43">
        <f>+'Operational Assumptions'!T48</f>
        <v>0.35</v>
      </c>
      <c r="U26" s="43">
        <f>+'Operational Assumptions'!U48</f>
        <v>0.35</v>
      </c>
      <c r="V26" s="43">
        <f>+'Operational Assumptions'!V48</f>
        <v>0.35</v>
      </c>
    </row>
    <row r="27" spans="3:22" x14ac:dyDescent="0.15">
      <c r="C27" s="44" t="s">
        <v>44</v>
      </c>
      <c r="D27" s="44"/>
      <c r="E27" s="44"/>
      <c r="F27" s="48">
        <f t="shared" ref="F27:J27" si="28">+F25+F23+F21</f>
        <v>9</v>
      </c>
      <c r="G27" s="48">
        <f t="shared" si="28"/>
        <v>9</v>
      </c>
      <c r="H27" s="48">
        <f t="shared" si="28"/>
        <v>9</v>
      </c>
      <c r="I27" s="48">
        <f t="shared" si="28"/>
        <v>9</v>
      </c>
      <c r="J27" s="48">
        <f t="shared" si="28"/>
        <v>9</v>
      </c>
      <c r="K27" s="48">
        <f>+K25+K23+K21</f>
        <v>17</v>
      </c>
      <c r="L27" s="44"/>
      <c r="M27" s="45">
        <f>+M25+M23+M21</f>
        <v>13.807499999999999</v>
      </c>
      <c r="N27" s="45">
        <f t="shared" ref="N27:V27" si="29">+N25+N23+N21</f>
        <v>15.133125000000001</v>
      </c>
      <c r="O27" s="45">
        <f t="shared" si="29"/>
        <v>16.588556250000003</v>
      </c>
      <c r="P27" s="45">
        <f t="shared" si="29"/>
        <v>18.186636562500006</v>
      </c>
      <c r="Q27" s="45">
        <f t="shared" si="29"/>
        <v>19.941486140625003</v>
      </c>
      <c r="R27" s="45">
        <f t="shared" si="29"/>
        <v>21.868629972656258</v>
      </c>
      <c r="S27" s="45">
        <f t="shared" si="29"/>
        <v>23.985137948789074</v>
      </c>
      <c r="T27" s="45">
        <f t="shared" si="29"/>
        <v>26.309778971478529</v>
      </c>
      <c r="U27" s="45">
        <f t="shared" si="29"/>
        <v>28.863190457827457</v>
      </c>
      <c r="V27" s="45">
        <f t="shared" si="29"/>
        <v>31.668064772271336</v>
      </c>
    </row>
    <row r="28" spans="3:22" x14ac:dyDescent="0.15">
      <c r="C28" s="39" t="s">
        <v>45</v>
      </c>
      <c r="D28" s="13"/>
      <c r="E28" s="13"/>
      <c r="F28" s="41">
        <f t="shared" ref="F28:J28" si="30">+F27/F19</f>
        <v>0.34615384615384615</v>
      </c>
      <c r="G28" s="41">
        <f t="shared" si="30"/>
        <v>0.34615384615384615</v>
      </c>
      <c r="H28" s="41">
        <f t="shared" si="30"/>
        <v>0.34615384615384615</v>
      </c>
      <c r="I28" s="41">
        <f t="shared" si="30"/>
        <v>0.34615384615384615</v>
      </c>
      <c r="J28" s="41">
        <f t="shared" si="30"/>
        <v>0.34615384615384615</v>
      </c>
      <c r="K28" s="41">
        <f>+K27/K19</f>
        <v>0.47222222222222221</v>
      </c>
      <c r="L28" s="38"/>
      <c r="M28" s="41">
        <f>+M27/M19</f>
        <v>0.35</v>
      </c>
      <c r="N28" s="41">
        <f t="shared" ref="N28:V28" si="31">+N27/N19</f>
        <v>0.35</v>
      </c>
      <c r="O28" s="41">
        <f t="shared" si="31"/>
        <v>0.35</v>
      </c>
      <c r="P28" s="41">
        <f t="shared" si="31"/>
        <v>0.35</v>
      </c>
      <c r="Q28" s="41">
        <f t="shared" si="31"/>
        <v>0.34999999999999992</v>
      </c>
      <c r="R28" s="41">
        <f t="shared" si="31"/>
        <v>0.35</v>
      </c>
      <c r="S28" s="41">
        <f t="shared" si="31"/>
        <v>0.35</v>
      </c>
      <c r="T28" s="41">
        <f t="shared" si="31"/>
        <v>0.34999999999999992</v>
      </c>
      <c r="U28" s="41">
        <f t="shared" si="31"/>
        <v>0.34999999999999992</v>
      </c>
      <c r="V28" s="41">
        <f t="shared" si="31"/>
        <v>0.35</v>
      </c>
    </row>
    <row r="29" spans="3:22" x14ac:dyDescent="0.15">
      <c r="C29" s="13" t="s">
        <v>46</v>
      </c>
      <c r="D29" s="13"/>
      <c r="E29" s="13"/>
      <c r="F29" s="21">
        <v>-10</v>
      </c>
      <c r="G29" s="21">
        <v>-10</v>
      </c>
      <c r="H29" s="21">
        <v>-10</v>
      </c>
      <c r="I29" s="21">
        <v>-10</v>
      </c>
      <c r="J29" s="21">
        <v>-10</v>
      </c>
      <c r="K29" s="21">
        <v>-12</v>
      </c>
      <c r="L29" s="38"/>
      <c r="M29" s="20">
        <f>+M31-M27</f>
        <v>-3.9449999999999985</v>
      </c>
      <c r="N29" s="20">
        <f t="shared" ref="N29:V29" si="32">+N31-N27</f>
        <v>-4.3237500000000004</v>
      </c>
      <c r="O29" s="20">
        <f t="shared" si="32"/>
        <v>-4.7395875000000007</v>
      </c>
      <c r="P29" s="20">
        <f t="shared" si="32"/>
        <v>-5.1961818750000006</v>
      </c>
      <c r="Q29" s="20">
        <f t="shared" si="32"/>
        <v>-5.6975674687499982</v>
      </c>
      <c r="R29" s="20">
        <f t="shared" si="32"/>
        <v>-6.2481799921875023</v>
      </c>
      <c r="S29" s="20">
        <f t="shared" si="32"/>
        <v>-6.8528965567968783</v>
      </c>
      <c r="T29" s="20">
        <f t="shared" si="32"/>
        <v>-7.5170797061367196</v>
      </c>
      <c r="U29" s="20">
        <f t="shared" si="32"/>
        <v>-8.2466258450935541</v>
      </c>
      <c r="V29" s="20">
        <f t="shared" si="32"/>
        <v>-9.0480185063632383</v>
      </c>
    </row>
    <row r="30" spans="3:22" x14ac:dyDescent="0.15">
      <c r="C30" s="39" t="s">
        <v>12</v>
      </c>
      <c r="D30" s="13"/>
      <c r="E30" s="13"/>
      <c r="F30" s="49"/>
      <c r="G30" s="49">
        <f t="shared" ref="G30:J30" si="33">+G29/F29-1</f>
        <v>0</v>
      </c>
      <c r="H30" s="49">
        <f t="shared" si="33"/>
        <v>0</v>
      </c>
      <c r="I30" s="49">
        <f t="shared" si="33"/>
        <v>0</v>
      </c>
      <c r="J30" s="49">
        <f t="shared" si="33"/>
        <v>0</v>
      </c>
      <c r="K30" s="49">
        <f>+K29/J29-1</f>
        <v>0.19999999999999996</v>
      </c>
      <c r="L30" s="38"/>
      <c r="M30" s="49">
        <f>+M29/K29-1</f>
        <v>-0.67125000000000012</v>
      </c>
      <c r="N30" s="49">
        <f>+N29/M29-1</f>
        <v>9.6007604562738269E-2</v>
      </c>
      <c r="O30" s="49">
        <f t="shared" ref="O30" si="34">+O29/N29-1</f>
        <v>9.6175195143104908E-2</v>
      </c>
      <c r="P30" s="49">
        <f t="shared" ref="P30" si="35">+P29/O29-1</f>
        <v>9.6336310913133216E-2</v>
      </c>
      <c r="Q30" s="49">
        <f t="shared" ref="Q30" si="36">+Q29/P29-1</f>
        <v>9.6491155585272326E-2</v>
      </c>
      <c r="R30" s="49">
        <f t="shared" ref="R30" si="37">+R29/Q29-1</f>
        <v>9.6639930366336557E-2</v>
      </c>
      <c r="S30" s="49">
        <f t="shared" ref="S30" si="38">+S29/R29-1</f>
        <v>9.6782833619628805E-2</v>
      </c>
      <c r="T30" s="49">
        <f t="shared" ref="T30" si="39">+T29/S29-1</f>
        <v>9.6920060566372923E-2</v>
      </c>
      <c r="U30" s="49">
        <f t="shared" ref="U30" si="40">+U29/T29-1</f>
        <v>9.7051803024152505E-2</v>
      </c>
      <c r="V30" s="49">
        <f t="shared" ref="V30" si="41">+V29/U29-1</f>
        <v>9.7178249180115861E-2</v>
      </c>
    </row>
    <row r="31" spans="3:22" x14ac:dyDescent="0.15">
      <c r="C31" s="44" t="s">
        <v>47</v>
      </c>
      <c r="D31" s="44"/>
      <c r="E31" s="44"/>
      <c r="F31" s="48">
        <v>0.8</v>
      </c>
      <c r="G31" s="48">
        <v>1</v>
      </c>
      <c r="H31" s="48">
        <v>1.5</v>
      </c>
      <c r="I31" s="48">
        <v>2</v>
      </c>
      <c r="J31" s="48">
        <v>3.5</v>
      </c>
      <c r="K31" s="48">
        <f>+K27+K29</f>
        <v>5</v>
      </c>
      <c r="L31" s="44"/>
      <c r="M31" s="45">
        <f>+M32*M19</f>
        <v>9.8625000000000007</v>
      </c>
      <c r="N31" s="45">
        <f t="shared" ref="N31:V31" si="42">+N32*N19</f>
        <v>10.809375000000001</v>
      </c>
      <c r="O31" s="45">
        <f t="shared" si="42"/>
        <v>11.848968750000003</v>
      </c>
      <c r="P31" s="45">
        <f t="shared" si="42"/>
        <v>12.990454687500005</v>
      </c>
      <c r="Q31" s="45">
        <f t="shared" si="42"/>
        <v>14.243918671875004</v>
      </c>
      <c r="R31" s="45">
        <f t="shared" si="42"/>
        <v>15.620449980468756</v>
      </c>
      <c r="S31" s="45">
        <f t="shared" si="42"/>
        <v>17.132241391992196</v>
      </c>
      <c r="T31" s="45">
        <f t="shared" si="42"/>
        <v>18.79269926534181</v>
      </c>
      <c r="U31" s="45">
        <f t="shared" si="42"/>
        <v>20.616564612733903</v>
      </c>
      <c r="V31" s="45">
        <f t="shared" si="42"/>
        <v>22.620046265908098</v>
      </c>
    </row>
    <row r="32" spans="3:22" x14ac:dyDescent="0.15">
      <c r="C32" s="39" t="s">
        <v>45</v>
      </c>
      <c r="D32" s="13"/>
      <c r="E32" s="13"/>
      <c r="F32" s="49">
        <f t="shared" ref="F32:J32" si="43">+F31/F19</f>
        <v>3.0769230769230771E-2</v>
      </c>
      <c r="G32" s="49">
        <f t="shared" si="43"/>
        <v>3.8461538461538464E-2</v>
      </c>
      <c r="H32" s="49">
        <f t="shared" si="43"/>
        <v>5.7692307692307696E-2</v>
      </c>
      <c r="I32" s="49">
        <f t="shared" si="43"/>
        <v>7.6923076923076927E-2</v>
      </c>
      <c r="J32" s="49">
        <f t="shared" si="43"/>
        <v>0.13461538461538461</v>
      </c>
      <c r="K32" s="49">
        <f>+K31/K19</f>
        <v>0.1388888888888889</v>
      </c>
      <c r="L32" s="38"/>
      <c r="M32" s="43">
        <f>+'Operational Assumptions'!M54</f>
        <v>0.25</v>
      </c>
      <c r="N32" s="43">
        <f>+'Operational Assumptions'!N54</f>
        <v>0.25</v>
      </c>
      <c r="O32" s="43">
        <f>+'Operational Assumptions'!O54</f>
        <v>0.25</v>
      </c>
      <c r="P32" s="43">
        <f>+'Operational Assumptions'!P54</f>
        <v>0.25</v>
      </c>
      <c r="Q32" s="43">
        <f>+'Operational Assumptions'!Q54</f>
        <v>0.25</v>
      </c>
      <c r="R32" s="43">
        <f>+'Operational Assumptions'!R54</f>
        <v>0.25</v>
      </c>
      <c r="S32" s="43">
        <f>+'Operational Assumptions'!S54</f>
        <v>0.25</v>
      </c>
      <c r="T32" s="43">
        <f>+'Operational Assumptions'!T54</f>
        <v>0.25</v>
      </c>
      <c r="U32" s="43">
        <f>+'Operational Assumptions'!U54</f>
        <v>0.25</v>
      </c>
      <c r="V32" s="43">
        <f>+'Operational Assumptions'!V54</f>
        <v>0.25</v>
      </c>
    </row>
    <row r="33" spans="3:22" x14ac:dyDescent="0.15">
      <c r="C33" s="39" t="s">
        <v>12</v>
      </c>
      <c r="D33" s="13"/>
      <c r="E33" s="13"/>
      <c r="F33" s="13"/>
      <c r="G33" s="50">
        <f t="shared" ref="G33:J33" si="44">+G31/F31-1</f>
        <v>0.25</v>
      </c>
      <c r="H33" s="50">
        <f t="shared" si="44"/>
        <v>0.5</v>
      </c>
      <c r="I33" s="50">
        <f t="shared" si="44"/>
        <v>0.33333333333333326</v>
      </c>
      <c r="J33" s="50">
        <f t="shared" si="44"/>
        <v>0.75</v>
      </c>
      <c r="K33" s="50">
        <f>+K31/J31-1</f>
        <v>0.4285714285714286</v>
      </c>
      <c r="L33" s="38"/>
      <c r="M33" s="50">
        <f>+M31/K31-1</f>
        <v>0.97250000000000014</v>
      </c>
      <c r="N33" s="50">
        <f>+N31/M31-1</f>
        <v>9.6007604562737603E-2</v>
      </c>
      <c r="O33" s="50">
        <f t="shared" ref="O33:V33" si="45">+O31/N31-1</f>
        <v>9.617519514310513E-2</v>
      </c>
      <c r="P33" s="50">
        <f t="shared" si="45"/>
        <v>9.6336310913133438E-2</v>
      </c>
      <c r="Q33" s="50">
        <f t="shared" si="45"/>
        <v>9.649115558527277E-2</v>
      </c>
      <c r="R33" s="50">
        <f t="shared" si="45"/>
        <v>9.6639930366335891E-2</v>
      </c>
      <c r="S33" s="50">
        <f t="shared" si="45"/>
        <v>9.6782833619628805E-2</v>
      </c>
      <c r="T33" s="50">
        <f t="shared" si="45"/>
        <v>9.6920060566373367E-2</v>
      </c>
      <c r="U33" s="50">
        <f t="shared" si="45"/>
        <v>9.7051803024152727E-2</v>
      </c>
      <c r="V33" s="50">
        <f t="shared" si="45"/>
        <v>9.7178249180114973E-2</v>
      </c>
    </row>
    <row r="34" spans="3:22" x14ac:dyDescent="0.15">
      <c r="C34" s="51" t="s">
        <v>48</v>
      </c>
      <c r="D34" s="13"/>
      <c r="E34" s="13"/>
      <c r="F34" s="21">
        <v>-0.5</v>
      </c>
      <c r="G34" s="21">
        <v>-0.5</v>
      </c>
      <c r="H34" s="21">
        <v>-0.5</v>
      </c>
      <c r="I34" s="21">
        <v>-0.5</v>
      </c>
      <c r="J34" s="21">
        <v>-0.5</v>
      </c>
      <c r="K34" s="21">
        <v>-0.5</v>
      </c>
      <c r="L34" s="38"/>
      <c r="M34" s="20">
        <f>+M35*M48</f>
        <v>-0.98625000000000007</v>
      </c>
      <c r="N34" s="20">
        <f t="shared" ref="N34:V34" si="46">+N35*N48</f>
        <v>-1.0809375000000001</v>
      </c>
      <c r="O34" s="20">
        <f t="shared" si="46"/>
        <v>-1.1848968750000004</v>
      </c>
      <c r="P34" s="20">
        <f t="shared" si="46"/>
        <v>-1.2990454687500006</v>
      </c>
      <c r="Q34" s="20">
        <f t="shared" si="46"/>
        <v>-1.4243918671875004</v>
      </c>
      <c r="R34" s="20">
        <f t="shared" si="46"/>
        <v>-1.5620449980468756</v>
      </c>
      <c r="S34" s="20">
        <f t="shared" si="46"/>
        <v>-1.7132241391992196</v>
      </c>
      <c r="T34" s="20">
        <f t="shared" si="46"/>
        <v>-1.879269926534181</v>
      </c>
      <c r="U34" s="20">
        <f t="shared" si="46"/>
        <v>-2.0616564612733903</v>
      </c>
      <c r="V34" s="20">
        <f t="shared" si="46"/>
        <v>-2.26200462659081</v>
      </c>
    </row>
    <row r="35" spans="3:22" x14ac:dyDescent="0.15">
      <c r="C35" s="39" t="s">
        <v>49</v>
      </c>
      <c r="D35" s="13"/>
      <c r="E35" s="13"/>
      <c r="F35" s="49" t="e">
        <f t="shared" ref="F35:J35" si="47">+F34/F48</f>
        <v>#DIV/0!</v>
      </c>
      <c r="G35" s="49" t="e">
        <f t="shared" si="47"/>
        <v>#DIV/0!</v>
      </c>
      <c r="H35" s="49" t="e">
        <f t="shared" si="47"/>
        <v>#DIV/0!</v>
      </c>
      <c r="I35" s="49" t="e">
        <f t="shared" si="47"/>
        <v>#DIV/0!</v>
      </c>
      <c r="J35" s="49" t="e">
        <f t="shared" si="47"/>
        <v>#DIV/0!</v>
      </c>
      <c r="K35" s="49">
        <f>+K34/K48</f>
        <v>0.69444444444444442</v>
      </c>
      <c r="L35" s="38"/>
      <c r="M35" s="43">
        <f>+'Operational Assumptions'!M65</f>
        <v>0.5</v>
      </c>
      <c r="N35" s="43">
        <f>+'Operational Assumptions'!N65</f>
        <v>0.5</v>
      </c>
      <c r="O35" s="43">
        <f>+'Operational Assumptions'!O65</f>
        <v>0.5</v>
      </c>
      <c r="P35" s="43">
        <f>+'Operational Assumptions'!P65</f>
        <v>0.5</v>
      </c>
      <c r="Q35" s="43">
        <f>+'Operational Assumptions'!Q65</f>
        <v>0.5</v>
      </c>
      <c r="R35" s="43">
        <f>+'Operational Assumptions'!R65</f>
        <v>0.5</v>
      </c>
      <c r="S35" s="43">
        <f>+'Operational Assumptions'!S65</f>
        <v>0.5</v>
      </c>
      <c r="T35" s="43">
        <f>+'Operational Assumptions'!T65</f>
        <v>0.5</v>
      </c>
      <c r="U35" s="43">
        <f>+'Operational Assumptions'!U65</f>
        <v>0.5</v>
      </c>
      <c r="V35" s="43">
        <f>+'Operational Assumptions'!V65</f>
        <v>0.5</v>
      </c>
    </row>
    <row r="36" spans="3:22" x14ac:dyDescent="0.15">
      <c r="C36" s="44" t="s">
        <v>50</v>
      </c>
      <c r="D36" s="44"/>
      <c r="E36" s="44"/>
      <c r="F36" s="48">
        <f t="shared" ref="F36:J36" si="48">+F31+F34</f>
        <v>0.30000000000000004</v>
      </c>
      <c r="G36" s="48">
        <f t="shared" si="48"/>
        <v>0.5</v>
      </c>
      <c r="H36" s="48">
        <f t="shared" si="48"/>
        <v>1</v>
      </c>
      <c r="I36" s="48">
        <f t="shared" si="48"/>
        <v>1.5</v>
      </c>
      <c r="J36" s="48">
        <f t="shared" si="48"/>
        <v>3</v>
      </c>
      <c r="K36" s="48">
        <f>+K31+K34</f>
        <v>4.5</v>
      </c>
      <c r="L36" s="44"/>
      <c r="M36" s="45">
        <f>+M31+M34</f>
        <v>8.8762500000000006</v>
      </c>
      <c r="N36" s="45">
        <f t="shared" ref="N36:V36" si="49">+N31+N34</f>
        <v>9.7284375000000018</v>
      </c>
      <c r="O36" s="45">
        <f t="shared" si="49"/>
        <v>10.664071875000003</v>
      </c>
      <c r="P36" s="45">
        <f t="shared" si="49"/>
        <v>11.691409218750005</v>
      </c>
      <c r="Q36" s="45">
        <f t="shared" si="49"/>
        <v>12.819526804687504</v>
      </c>
      <c r="R36" s="45">
        <f t="shared" si="49"/>
        <v>14.05840498242188</v>
      </c>
      <c r="S36" s="45">
        <f t="shared" si="49"/>
        <v>15.419017252792976</v>
      </c>
      <c r="T36" s="45">
        <f t="shared" si="49"/>
        <v>16.913429338807628</v>
      </c>
      <c r="U36" s="45">
        <f t="shared" si="49"/>
        <v>18.554908151460513</v>
      </c>
      <c r="V36" s="45">
        <f t="shared" si="49"/>
        <v>20.358041639317289</v>
      </c>
    </row>
    <row r="37" spans="3:22" x14ac:dyDescent="0.15">
      <c r="C37" s="39" t="s">
        <v>45</v>
      </c>
      <c r="D37" s="13"/>
      <c r="E37" s="13"/>
      <c r="F37" s="41">
        <f t="shared" ref="F37:J37" si="50">+F36/F19</f>
        <v>1.1538461538461541E-2</v>
      </c>
      <c r="G37" s="41">
        <f t="shared" si="50"/>
        <v>1.9230769230769232E-2</v>
      </c>
      <c r="H37" s="41">
        <f t="shared" si="50"/>
        <v>3.8461538461538464E-2</v>
      </c>
      <c r="I37" s="41">
        <f t="shared" si="50"/>
        <v>5.7692307692307696E-2</v>
      </c>
      <c r="J37" s="41">
        <f t="shared" si="50"/>
        <v>0.11538461538461539</v>
      </c>
      <c r="K37" s="41">
        <f>+K36/K19</f>
        <v>0.125</v>
      </c>
      <c r="L37" s="52"/>
      <c r="M37" s="41">
        <f>+M36/M19</f>
        <v>0.22500000000000001</v>
      </c>
      <c r="N37" s="41">
        <f t="shared" ref="N37:V37" si="51">+N36/N19</f>
        <v>0.22500000000000003</v>
      </c>
      <c r="O37" s="41">
        <f t="shared" si="51"/>
        <v>0.22500000000000001</v>
      </c>
      <c r="P37" s="41">
        <f t="shared" si="51"/>
        <v>0.22500000000000001</v>
      </c>
      <c r="Q37" s="41">
        <f t="shared" si="51"/>
        <v>0.22500000000000001</v>
      </c>
      <c r="R37" s="41">
        <f t="shared" si="51"/>
        <v>0.22500000000000001</v>
      </c>
      <c r="S37" s="41">
        <f t="shared" si="51"/>
        <v>0.22500000000000001</v>
      </c>
      <c r="T37" s="41">
        <f t="shared" si="51"/>
        <v>0.22499999999999998</v>
      </c>
      <c r="U37" s="41">
        <f t="shared" si="51"/>
        <v>0.22500000000000001</v>
      </c>
      <c r="V37" s="41">
        <f t="shared" si="51"/>
        <v>0.22500000000000001</v>
      </c>
    </row>
    <row r="38" spans="3:22" x14ac:dyDescent="0.15">
      <c r="C38" s="51" t="s">
        <v>54</v>
      </c>
      <c r="D38" s="13"/>
      <c r="E38" s="13"/>
      <c r="F38" s="20">
        <f t="shared" ref="F38:J38" si="52">+F62</f>
        <v>0</v>
      </c>
      <c r="G38" s="20">
        <f t="shared" si="52"/>
        <v>0</v>
      </c>
      <c r="H38" s="20">
        <f t="shared" si="52"/>
        <v>0</v>
      </c>
      <c r="I38" s="20">
        <f t="shared" si="52"/>
        <v>0</v>
      </c>
      <c r="J38" s="20">
        <f t="shared" si="52"/>
        <v>0</v>
      </c>
      <c r="K38" s="20">
        <f>+K62</f>
        <v>0</v>
      </c>
      <c r="L38" s="53"/>
      <c r="M38" s="20">
        <f t="shared" ref="M38:V38" si="53">+M62</f>
        <v>-1.25</v>
      </c>
      <c r="N38" s="20">
        <f t="shared" si="53"/>
        <v>-1.25</v>
      </c>
      <c r="O38" s="20">
        <f t="shared" si="53"/>
        <v>-1.25</v>
      </c>
      <c r="P38" s="20">
        <f t="shared" si="53"/>
        <v>-1.25</v>
      </c>
      <c r="Q38" s="20">
        <f t="shared" si="53"/>
        <v>-1.25</v>
      </c>
      <c r="R38" s="20">
        <f t="shared" si="53"/>
        <v>-1.25</v>
      </c>
      <c r="S38" s="20">
        <f t="shared" si="53"/>
        <v>-1.25</v>
      </c>
      <c r="T38" s="20">
        <f t="shared" si="53"/>
        <v>-1.25</v>
      </c>
      <c r="U38" s="20">
        <f t="shared" si="53"/>
        <v>-1.25</v>
      </c>
      <c r="V38" s="20">
        <f t="shared" si="53"/>
        <v>-1.25</v>
      </c>
    </row>
    <row r="39" spans="3:22" x14ac:dyDescent="0.15">
      <c r="C39" s="44" t="s">
        <v>51</v>
      </c>
      <c r="D39" s="44"/>
      <c r="E39" s="44"/>
      <c r="F39" s="48">
        <f t="shared" ref="F39:J39" si="54">+F38+F36</f>
        <v>0.30000000000000004</v>
      </c>
      <c r="G39" s="48">
        <f t="shared" si="54"/>
        <v>0.5</v>
      </c>
      <c r="H39" s="48">
        <f t="shared" si="54"/>
        <v>1</v>
      </c>
      <c r="I39" s="48">
        <f t="shared" si="54"/>
        <v>1.5</v>
      </c>
      <c r="J39" s="48">
        <f t="shared" si="54"/>
        <v>3</v>
      </c>
      <c r="K39" s="48">
        <f>+K38+K36</f>
        <v>4.5</v>
      </c>
      <c r="L39" s="44"/>
      <c r="M39" s="45">
        <f>+M38+M36</f>
        <v>7.6262500000000006</v>
      </c>
      <c r="N39" s="45">
        <f t="shared" ref="N39:V39" si="55">+N38+N36</f>
        <v>8.4784375000000018</v>
      </c>
      <c r="O39" s="45">
        <f t="shared" si="55"/>
        <v>9.414071875000003</v>
      </c>
      <c r="P39" s="45">
        <f t="shared" si="55"/>
        <v>10.441409218750005</v>
      </c>
      <c r="Q39" s="45">
        <f t="shared" si="55"/>
        <v>11.569526804687504</v>
      </c>
      <c r="R39" s="45">
        <f t="shared" si="55"/>
        <v>12.80840498242188</v>
      </c>
      <c r="S39" s="45">
        <f t="shared" si="55"/>
        <v>14.169017252792976</v>
      </c>
      <c r="T39" s="45">
        <f t="shared" si="55"/>
        <v>15.663429338807628</v>
      </c>
      <c r="U39" s="45">
        <f t="shared" si="55"/>
        <v>17.304908151460513</v>
      </c>
      <c r="V39" s="45">
        <f t="shared" si="55"/>
        <v>19.108041639317289</v>
      </c>
    </row>
    <row r="40" spans="3:22" x14ac:dyDescent="0.15">
      <c r="C40" s="39" t="s">
        <v>45</v>
      </c>
      <c r="D40" s="13"/>
      <c r="E40" s="13"/>
      <c r="F40" s="41">
        <f t="shared" ref="F40:J40" si="56">+F39/F19</f>
        <v>1.1538461538461541E-2</v>
      </c>
      <c r="G40" s="41">
        <f t="shared" si="56"/>
        <v>1.9230769230769232E-2</v>
      </c>
      <c r="H40" s="41">
        <f t="shared" si="56"/>
        <v>3.8461538461538464E-2</v>
      </c>
      <c r="I40" s="41">
        <f t="shared" si="56"/>
        <v>5.7692307692307696E-2</v>
      </c>
      <c r="J40" s="41">
        <f t="shared" si="56"/>
        <v>0.11538461538461539</v>
      </c>
      <c r="K40" s="41">
        <f>+K39/K19</f>
        <v>0.125</v>
      </c>
      <c r="L40" s="42"/>
      <c r="M40" s="41">
        <f>+M39/M19</f>
        <v>0.19331432192648923</v>
      </c>
      <c r="N40" s="41">
        <f t="shared" ref="N40:V40" si="57">+N39/N19</f>
        <v>0.1960899103787222</v>
      </c>
      <c r="O40" s="41">
        <f t="shared" si="57"/>
        <v>0.19862639681195887</v>
      </c>
      <c r="P40" s="41">
        <f t="shared" si="57"/>
        <v>0.20094387513620279</v>
      </c>
      <c r="Q40" s="41">
        <f t="shared" si="57"/>
        <v>0.20306081267389994</v>
      </c>
      <c r="R40" s="41">
        <f t="shared" si="57"/>
        <v>0.20499417427854263</v>
      </c>
      <c r="S40" s="41">
        <f t="shared" si="57"/>
        <v>0.20675953788824933</v>
      </c>
      <c r="T40" s="41">
        <f t="shared" si="57"/>
        <v>0.20837120199777132</v>
      </c>
      <c r="U40" s="41">
        <f t="shared" si="57"/>
        <v>0.20984228551797698</v>
      </c>
      <c r="V40" s="41">
        <f t="shared" si="57"/>
        <v>0.21118482047620807</v>
      </c>
    </row>
    <row r="41" spans="3:22" x14ac:dyDescent="0.15">
      <c r="C41" s="51" t="s">
        <v>28</v>
      </c>
      <c r="D41" s="13"/>
      <c r="E41" s="13"/>
      <c r="F41" s="20">
        <f t="shared" ref="F41:J41" si="58">+F39*F42*-1</f>
        <v>0</v>
      </c>
      <c r="G41" s="20">
        <f t="shared" si="58"/>
        <v>0</v>
      </c>
      <c r="H41" s="20">
        <f t="shared" si="58"/>
        <v>0</v>
      </c>
      <c r="I41" s="20">
        <f t="shared" si="58"/>
        <v>0</v>
      </c>
      <c r="J41" s="20">
        <f t="shared" si="58"/>
        <v>0</v>
      </c>
      <c r="K41" s="20">
        <f>+K39*K42*-1</f>
        <v>-0.9</v>
      </c>
      <c r="L41" s="38"/>
      <c r="M41" s="20">
        <f>+M39*M42*-1</f>
        <v>-1.5252500000000002</v>
      </c>
      <c r="N41" s="20">
        <f t="shared" ref="N41:V41" si="59">+N39*N42*-1</f>
        <v>-1.6956875000000005</v>
      </c>
      <c r="O41" s="20">
        <f t="shared" si="59"/>
        <v>-1.8828143750000006</v>
      </c>
      <c r="P41" s="20">
        <f t="shared" si="59"/>
        <v>-2.0882818437500013</v>
      </c>
      <c r="Q41" s="20">
        <f t="shared" si="59"/>
        <v>-2.3139053609375009</v>
      </c>
      <c r="R41" s="20">
        <f t="shared" si="59"/>
        <v>-2.5616809964843763</v>
      </c>
      <c r="S41" s="20">
        <f t="shared" si="59"/>
        <v>-2.8338034505585954</v>
      </c>
      <c r="T41" s="20">
        <f t="shared" si="59"/>
        <v>-3.1326858677615257</v>
      </c>
      <c r="U41" s="20">
        <f t="shared" si="59"/>
        <v>-3.4609816302921028</v>
      </c>
      <c r="V41" s="20">
        <f t="shared" si="59"/>
        <v>-3.8216083278634581</v>
      </c>
    </row>
    <row r="42" spans="3:22" x14ac:dyDescent="0.15">
      <c r="C42" s="39" t="s">
        <v>52</v>
      </c>
      <c r="D42" s="13"/>
      <c r="E42" s="13"/>
      <c r="F42" s="13"/>
      <c r="G42" s="13"/>
      <c r="H42" s="13"/>
      <c r="I42" s="13"/>
      <c r="J42" s="13"/>
      <c r="K42" s="41">
        <f>+'Operational Assumptions'!K71</f>
        <v>0.2</v>
      </c>
      <c r="L42" s="52"/>
      <c r="M42" s="41">
        <f>+'Operational Assumptions'!M71</f>
        <v>0.2</v>
      </c>
      <c r="N42" s="41">
        <f>+'Operational Assumptions'!N71</f>
        <v>0.2</v>
      </c>
      <c r="O42" s="41">
        <f>+'Operational Assumptions'!O71</f>
        <v>0.2</v>
      </c>
      <c r="P42" s="41">
        <f>+'Operational Assumptions'!P71</f>
        <v>0.2</v>
      </c>
      <c r="Q42" s="41">
        <f>+'Operational Assumptions'!Q71</f>
        <v>0.2</v>
      </c>
      <c r="R42" s="41">
        <f>+'Operational Assumptions'!R71</f>
        <v>0.2</v>
      </c>
      <c r="S42" s="41">
        <f>+'Operational Assumptions'!S71</f>
        <v>0.2</v>
      </c>
      <c r="T42" s="41">
        <f>+'Operational Assumptions'!T71</f>
        <v>0.2</v>
      </c>
      <c r="U42" s="41">
        <f>+'Operational Assumptions'!U71</f>
        <v>0.2</v>
      </c>
      <c r="V42" s="41">
        <f>+'Operational Assumptions'!V71</f>
        <v>0.2</v>
      </c>
    </row>
    <row r="43" spans="3:22" x14ac:dyDescent="0.15">
      <c r="C43" s="44" t="s">
        <v>53</v>
      </c>
      <c r="D43" s="44"/>
      <c r="E43" s="44"/>
      <c r="F43" s="48">
        <f t="shared" ref="F43:J43" si="60">+F41+F39</f>
        <v>0.30000000000000004</v>
      </c>
      <c r="G43" s="48">
        <f t="shared" si="60"/>
        <v>0.5</v>
      </c>
      <c r="H43" s="48">
        <f t="shared" si="60"/>
        <v>1</v>
      </c>
      <c r="I43" s="48">
        <f t="shared" si="60"/>
        <v>1.5</v>
      </c>
      <c r="J43" s="48">
        <f t="shared" si="60"/>
        <v>3</v>
      </c>
      <c r="K43" s="48">
        <f>+K41+K39</f>
        <v>3.6</v>
      </c>
      <c r="L43" s="44"/>
      <c r="M43" s="45">
        <f>+M41+M39</f>
        <v>6.1010000000000009</v>
      </c>
      <c r="N43" s="45">
        <f t="shared" ref="N43:V43" si="61">+N41+N39</f>
        <v>6.7827500000000018</v>
      </c>
      <c r="O43" s="45">
        <f t="shared" si="61"/>
        <v>7.5312575000000024</v>
      </c>
      <c r="P43" s="45">
        <f t="shared" si="61"/>
        <v>8.3531273750000032</v>
      </c>
      <c r="Q43" s="45">
        <f t="shared" si="61"/>
        <v>9.2556214437500035</v>
      </c>
      <c r="R43" s="45">
        <f t="shared" si="61"/>
        <v>10.246723985937503</v>
      </c>
      <c r="S43" s="45">
        <f t="shared" si="61"/>
        <v>11.335213802234382</v>
      </c>
      <c r="T43" s="45">
        <f t="shared" si="61"/>
        <v>12.530743471046103</v>
      </c>
      <c r="U43" s="45">
        <f t="shared" si="61"/>
        <v>13.843926521168409</v>
      </c>
      <c r="V43" s="45">
        <f t="shared" si="61"/>
        <v>15.28643331145383</v>
      </c>
    </row>
    <row r="45" spans="3:22" x14ac:dyDescent="0.15">
      <c r="C45" s="8" t="s">
        <v>55</v>
      </c>
    </row>
    <row r="47" spans="3:22" x14ac:dyDescent="0.15">
      <c r="C47" s="13" t="s">
        <v>23</v>
      </c>
      <c r="D47" s="13"/>
      <c r="E47" s="13"/>
      <c r="F47" s="20">
        <f t="shared" ref="F47:J47" si="62">+F31</f>
        <v>0.8</v>
      </c>
      <c r="G47" s="20">
        <f t="shared" si="62"/>
        <v>1</v>
      </c>
      <c r="H47" s="20">
        <f t="shared" si="62"/>
        <v>1.5</v>
      </c>
      <c r="I47" s="20">
        <f t="shared" si="62"/>
        <v>2</v>
      </c>
      <c r="J47" s="20">
        <f t="shared" si="62"/>
        <v>3.5</v>
      </c>
      <c r="K47" s="20">
        <f>+K31</f>
        <v>5</v>
      </c>
      <c r="L47" s="53"/>
      <c r="M47" s="20">
        <f>+M31</f>
        <v>9.8625000000000007</v>
      </c>
      <c r="N47" s="20">
        <f t="shared" ref="N47:V47" si="63">+N31</f>
        <v>10.809375000000001</v>
      </c>
      <c r="O47" s="20">
        <f t="shared" si="63"/>
        <v>11.848968750000003</v>
      </c>
      <c r="P47" s="20">
        <f t="shared" si="63"/>
        <v>12.990454687500005</v>
      </c>
      <c r="Q47" s="20">
        <f t="shared" si="63"/>
        <v>14.243918671875004</v>
      </c>
      <c r="R47" s="20">
        <f t="shared" si="63"/>
        <v>15.620449980468756</v>
      </c>
      <c r="S47" s="20">
        <f t="shared" si="63"/>
        <v>17.132241391992196</v>
      </c>
      <c r="T47" s="20">
        <f t="shared" si="63"/>
        <v>18.79269926534181</v>
      </c>
      <c r="U47" s="20">
        <f t="shared" si="63"/>
        <v>20.616564612733903</v>
      </c>
      <c r="V47" s="20">
        <f t="shared" si="63"/>
        <v>22.620046265908098</v>
      </c>
    </row>
    <row r="48" spans="3:22" x14ac:dyDescent="0.15">
      <c r="C48" s="13" t="s">
        <v>56</v>
      </c>
      <c r="D48" s="13"/>
      <c r="E48" s="13"/>
      <c r="F48" s="20">
        <f>+'Operational Assumptions'!F60*F19*-1</f>
        <v>0</v>
      </c>
      <c r="G48" s="20">
        <f>+'Operational Assumptions'!G60*G19*-1</f>
        <v>0</v>
      </c>
      <c r="H48" s="20">
        <f>+'Operational Assumptions'!H60*H19*-1</f>
        <v>0</v>
      </c>
      <c r="I48" s="20">
        <f>+'Operational Assumptions'!I60*I19*-1</f>
        <v>0</v>
      </c>
      <c r="J48" s="20">
        <f>+'Operational Assumptions'!J60*J19*-1</f>
        <v>0</v>
      </c>
      <c r="K48" s="20">
        <f>+'Operational Assumptions'!K60*K19*-1</f>
        <v>-0.72</v>
      </c>
      <c r="L48" s="53"/>
      <c r="M48" s="20">
        <f>+'Operational Assumptions'!M60*M19*-1</f>
        <v>-1.9725000000000001</v>
      </c>
      <c r="N48" s="20">
        <f>+'Operational Assumptions'!N60*N19*-1</f>
        <v>-2.1618750000000002</v>
      </c>
      <c r="O48" s="20">
        <f>+'Operational Assumptions'!O60*O19*-1</f>
        <v>-2.3697937500000008</v>
      </c>
      <c r="P48" s="20">
        <f>+'Operational Assumptions'!P60*P19*-1</f>
        <v>-2.5980909375000012</v>
      </c>
      <c r="Q48" s="20">
        <f>+'Operational Assumptions'!Q60*Q19*-1</f>
        <v>-2.8487837343750009</v>
      </c>
      <c r="R48" s="20">
        <f>+'Operational Assumptions'!R60*R19*-1</f>
        <v>-3.1240899960937512</v>
      </c>
      <c r="S48" s="20">
        <f>+'Operational Assumptions'!S60*S19*-1</f>
        <v>-3.4264482783984391</v>
      </c>
      <c r="T48" s="20">
        <f>+'Operational Assumptions'!T60*T19*-1</f>
        <v>-3.758539853068362</v>
      </c>
      <c r="U48" s="20">
        <f>+'Operational Assumptions'!U60*U19*-1</f>
        <v>-4.1233129225467806</v>
      </c>
      <c r="V48" s="20">
        <f>+'Operational Assumptions'!V60*V19*-1</f>
        <v>-4.5240092531816201</v>
      </c>
    </row>
    <row r="49" spans="3:22" x14ac:dyDescent="0.15">
      <c r="C49" s="13" t="s">
        <v>54</v>
      </c>
      <c r="D49" s="13"/>
      <c r="E49" s="13"/>
      <c r="F49" s="20">
        <f t="shared" ref="F49:J49" si="64">+F38</f>
        <v>0</v>
      </c>
      <c r="G49" s="20">
        <f t="shared" si="64"/>
        <v>0</v>
      </c>
      <c r="H49" s="20">
        <f t="shared" si="64"/>
        <v>0</v>
      </c>
      <c r="I49" s="20">
        <f t="shared" si="64"/>
        <v>0</v>
      </c>
      <c r="J49" s="20">
        <f t="shared" si="64"/>
        <v>0</v>
      </c>
      <c r="K49" s="20">
        <f>+K38</f>
        <v>0</v>
      </c>
      <c r="L49" s="53"/>
      <c r="M49" s="20">
        <f>+M38</f>
        <v>-1.25</v>
      </c>
      <c r="N49" s="20">
        <f t="shared" ref="N49:V49" si="65">+N38</f>
        <v>-1.25</v>
      </c>
      <c r="O49" s="20">
        <f t="shared" si="65"/>
        <v>-1.25</v>
      </c>
      <c r="P49" s="20">
        <f t="shared" si="65"/>
        <v>-1.25</v>
      </c>
      <c r="Q49" s="20">
        <f t="shared" si="65"/>
        <v>-1.25</v>
      </c>
      <c r="R49" s="20">
        <f t="shared" si="65"/>
        <v>-1.25</v>
      </c>
      <c r="S49" s="20">
        <f t="shared" si="65"/>
        <v>-1.25</v>
      </c>
      <c r="T49" s="20">
        <f t="shared" si="65"/>
        <v>-1.25</v>
      </c>
      <c r="U49" s="20">
        <f t="shared" si="65"/>
        <v>-1.25</v>
      </c>
      <c r="V49" s="20">
        <f t="shared" si="65"/>
        <v>-1.25</v>
      </c>
    </row>
    <row r="50" spans="3:22" x14ac:dyDescent="0.15">
      <c r="C50" s="13" t="s">
        <v>28</v>
      </c>
      <c r="D50" s="13"/>
      <c r="E50" s="13"/>
      <c r="F50" s="20">
        <f t="shared" ref="F50:J50" si="66">+F41</f>
        <v>0</v>
      </c>
      <c r="G50" s="20">
        <f t="shared" si="66"/>
        <v>0</v>
      </c>
      <c r="H50" s="20">
        <f t="shared" si="66"/>
        <v>0</v>
      </c>
      <c r="I50" s="20">
        <f t="shared" si="66"/>
        <v>0</v>
      </c>
      <c r="J50" s="20">
        <f t="shared" si="66"/>
        <v>0</v>
      </c>
      <c r="K50" s="20">
        <f>+K41</f>
        <v>-0.9</v>
      </c>
      <c r="L50" s="53"/>
      <c r="M50" s="20">
        <f>+M41</f>
        <v>-1.5252500000000002</v>
      </c>
      <c r="N50" s="20">
        <f t="shared" ref="N50:V50" si="67">+N41</f>
        <v>-1.6956875000000005</v>
      </c>
      <c r="O50" s="20">
        <f t="shared" si="67"/>
        <v>-1.8828143750000006</v>
      </c>
      <c r="P50" s="20">
        <f t="shared" si="67"/>
        <v>-2.0882818437500013</v>
      </c>
      <c r="Q50" s="20">
        <f t="shared" si="67"/>
        <v>-2.3139053609375009</v>
      </c>
      <c r="R50" s="20">
        <f t="shared" si="67"/>
        <v>-2.5616809964843763</v>
      </c>
      <c r="S50" s="20">
        <f t="shared" si="67"/>
        <v>-2.8338034505585954</v>
      </c>
      <c r="T50" s="20">
        <f t="shared" si="67"/>
        <v>-3.1326858677615257</v>
      </c>
      <c r="U50" s="20">
        <f t="shared" si="67"/>
        <v>-3.4609816302921028</v>
      </c>
      <c r="V50" s="20">
        <f t="shared" si="67"/>
        <v>-3.8216083278634581</v>
      </c>
    </row>
    <row r="51" spans="3:22" x14ac:dyDescent="0.15">
      <c r="C51" s="13" t="s">
        <v>31</v>
      </c>
      <c r="D51" s="13"/>
      <c r="E51" s="13"/>
      <c r="F51" s="20"/>
      <c r="G51" s="20"/>
      <c r="H51" s="20"/>
      <c r="I51" s="20"/>
      <c r="J51" s="20"/>
      <c r="K51" s="20"/>
      <c r="L51" s="53"/>
      <c r="M51" s="20">
        <f>+'Operational Assumptions'!M74</f>
        <v>0</v>
      </c>
      <c r="N51" s="20">
        <f>+'Operational Assumptions'!N74</f>
        <v>0</v>
      </c>
      <c r="O51" s="20">
        <f>+'Operational Assumptions'!O74</f>
        <v>0</v>
      </c>
      <c r="P51" s="20">
        <f>+'Operational Assumptions'!P74</f>
        <v>0</v>
      </c>
      <c r="Q51" s="20">
        <f>+'Operational Assumptions'!Q74</f>
        <v>0</v>
      </c>
      <c r="R51" s="20">
        <f>+'Operational Assumptions'!R74</f>
        <v>0</v>
      </c>
      <c r="S51" s="20">
        <f>+'Operational Assumptions'!S74</f>
        <v>0</v>
      </c>
      <c r="T51" s="20">
        <f>+'Operational Assumptions'!T74</f>
        <v>0</v>
      </c>
      <c r="U51" s="20">
        <f>+'Operational Assumptions'!U74</f>
        <v>0</v>
      </c>
      <c r="V51" s="20">
        <f>+'Operational Assumptions'!V74</f>
        <v>0</v>
      </c>
    </row>
    <row r="52" spans="3:22" x14ac:dyDescent="0.15">
      <c r="C52" s="44" t="s">
        <v>57</v>
      </c>
      <c r="D52" s="44"/>
      <c r="E52" s="44"/>
      <c r="F52" s="45">
        <f t="shared" ref="F52:J52" si="68">SUM(F47:F51)</f>
        <v>0.8</v>
      </c>
      <c r="G52" s="45">
        <f t="shared" si="68"/>
        <v>1</v>
      </c>
      <c r="H52" s="45">
        <f t="shared" si="68"/>
        <v>1.5</v>
      </c>
      <c r="I52" s="45">
        <f t="shared" si="68"/>
        <v>2</v>
      </c>
      <c r="J52" s="45">
        <f t="shared" si="68"/>
        <v>3.5</v>
      </c>
      <c r="K52" s="45">
        <f>SUM(K47:K51)</f>
        <v>3.3800000000000003</v>
      </c>
      <c r="L52" s="44"/>
      <c r="M52" s="45">
        <f t="shared" ref="M52:V52" si="69">SUM(M47:M51)</f>
        <v>5.1147500000000008</v>
      </c>
      <c r="N52" s="45">
        <f t="shared" si="69"/>
        <v>5.7018125000000008</v>
      </c>
      <c r="O52" s="45">
        <f t="shared" si="69"/>
        <v>6.3463606250000009</v>
      </c>
      <c r="P52" s="45">
        <f t="shared" si="69"/>
        <v>7.0540819062500031</v>
      </c>
      <c r="Q52" s="45">
        <f t="shared" si="69"/>
        <v>7.8312295765625031</v>
      </c>
      <c r="R52" s="45">
        <f t="shared" si="69"/>
        <v>8.6846789878906279</v>
      </c>
      <c r="S52" s="45">
        <f t="shared" si="69"/>
        <v>9.621989663035162</v>
      </c>
      <c r="T52" s="45">
        <f t="shared" si="69"/>
        <v>10.651473544511923</v>
      </c>
      <c r="U52" s="45">
        <f t="shared" si="69"/>
        <v>11.782270059895019</v>
      </c>
      <c r="V52" s="45">
        <f t="shared" si="69"/>
        <v>13.024428684863018</v>
      </c>
    </row>
    <row r="53" spans="3:22" ht="10.25" customHeight="1" x14ac:dyDescent="0.15">
      <c r="C53" s="13"/>
      <c r="D53" s="13"/>
      <c r="E53" s="13"/>
      <c r="F53" s="13"/>
      <c r="G53" s="13"/>
      <c r="H53" s="13"/>
      <c r="I53" s="13"/>
      <c r="J53" s="13"/>
      <c r="K53" s="13"/>
      <c r="L53" s="38"/>
      <c r="M53" s="13"/>
      <c r="N53" s="13"/>
      <c r="O53" s="13"/>
      <c r="P53" s="13"/>
      <c r="Q53" s="13"/>
      <c r="R53" s="13"/>
      <c r="S53" s="13"/>
      <c r="T53" s="13"/>
      <c r="U53" s="13"/>
      <c r="V53" s="13"/>
    </row>
    <row r="54" spans="3:22" x14ac:dyDescent="0.15">
      <c r="C54" s="44" t="s">
        <v>58</v>
      </c>
      <c r="D54" s="44"/>
      <c r="E54" s="44"/>
      <c r="F54" s="45">
        <f t="shared" ref="F54:J54" si="70">+F47+F48+F51</f>
        <v>0.8</v>
      </c>
      <c r="G54" s="45">
        <f t="shared" si="70"/>
        <v>1</v>
      </c>
      <c r="H54" s="45">
        <f t="shared" si="70"/>
        <v>1.5</v>
      </c>
      <c r="I54" s="45">
        <f t="shared" si="70"/>
        <v>2</v>
      </c>
      <c r="J54" s="45">
        <f t="shared" si="70"/>
        <v>3.5</v>
      </c>
      <c r="K54" s="45">
        <f>+K47+K48+K51</f>
        <v>4.28</v>
      </c>
      <c r="L54" s="44"/>
      <c r="M54" s="45">
        <f t="shared" ref="M54:V54" si="71">+M47+M48+M51</f>
        <v>7.8900000000000006</v>
      </c>
      <c r="N54" s="45">
        <f t="shared" si="71"/>
        <v>8.6475000000000009</v>
      </c>
      <c r="O54" s="45">
        <f t="shared" si="71"/>
        <v>9.4791750000000015</v>
      </c>
      <c r="P54" s="45">
        <f t="shared" si="71"/>
        <v>10.392363750000005</v>
      </c>
      <c r="Q54" s="45">
        <f t="shared" si="71"/>
        <v>11.395134937500004</v>
      </c>
      <c r="R54" s="45">
        <f t="shared" si="71"/>
        <v>12.496359984375005</v>
      </c>
      <c r="S54" s="45">
        <f t="shared" si="71"/>
        <v>13.705793113593757</v>
      </c>
      <c r="T54" s="45">
        <f t="shared" si="71"/>
        <v>15.034159412273448</v>
      </c>
      <c r="U54" s="45">
        <f t="shared" si="71"/>
        <v>16.493251690187122</v>
      </c>
      <c r="V54" s="45">
        <f t="shared" si="71"/>
        <v>18.096037012726477</v>
      </c>
    </row>
    <row r="55" spans="3:22" s="30" customFormat="1" x14ac:dyDescent="0.15">
      <c r="C55" s="39" t="s">
        <v>45</v>
      </c>
      <c r="D55" s="40"/>
      <c r="E55" s="40"/>
      <c r="F55" s="41">
        <f t="shared" ref="F55:J55" si="72">+F54/F19</f>
        <v>3.0769230769230771E-2</v>
      </c>
      <c r="G55" s="41">
        <f t="shared" si="72"/>
        <v>3.8461538461538464E-2</v>
      </c>
      <c r="H55" s="41">
        <f t="shared" si="72"/>
        <v>5.7692307692307696E-2</v>
      </c>
      <c r="I55" s="41">
        <f t="shared" si="72"/>
        <v>7.6923076923076927E-2</v>
      </c>
      <c r="J55" s="41">
        <f t="shared" si="72"/>
        <v>0.13461538461538461</v>
      </c>
      <c r="K55" s="41">
        <f>+K54/K19</f>
        <v>0.11888888888888889</v>
      </c>
      <c r="L55" s="42"/>
      <c r="M55" s="41">
        <f>+M54/M19</f>
        <v>0.2</v>
      </c>
      <c r="N55" s="41">
        <f t="shared" ref="N55:V55" si="73">+N54/N19</f>
        <v>0.2</v>
      </c>
      <c r="O55" s="41">
        <f t="shared" si="73"/>
        <v>0.19999999999999998</v>
      </c>
      <c r="P55" s="41">
        <f t="shared" si="73"/>
        <v>0.2</v>
      </c>
      <c r="Q55" s="41">
        <f t="shared" si="73"/>
        <v>0.2</v>
      </c>
      <c r="R55" s="41">
        <f t="shared" si="73"/>
        <v>0.2</v>
      </c>
      <c r="S55" s="41">
        <f t="shared" si="73"/>
        <v>0.2</v>
      </c>
      <c r="T55" s="41">
        <f t="shared" si="73"/>
        <v>0.2</v>
      </c>
      <c r="U55" s="41">
        <f t="shared" si="73"/>
        <v>0.2</v>
      </c>
      <c r="V55" s="41">
        <f t="shared" si="73"/>
        <v>0.19999999999999998</v>
      </c>
    </row>
    <row r="57" spans="3:22" x14ac:dyDescent="0.15">
      <c r="C57" s="8" t="s">
        <v>59</v>
      </c>
    </row>
    <row r="59" spans="3:22" x14ac:dyDescent="0.15">
      <c r="C59" s="13" t="s">
        <v>60</v>
      </c>
      <c r="D59" s="35">
        <f>+'Operational Assumptions'!K80</f>
        <v>5</v>
      </c>
      <c r="E59" s="13"/>
      <c r="F59" s="13"/>
      <c r="G59" s="13"/>
      <c r="H59" s="13"/>
      <c r="I59" s="13"/>
      <c r="J59" s="13"/>
      <c r="K59" s="13">
        <f>+D59*K31</f>
        <v>25</v>
      </c>
      <c r="L59" s="38"/>
      <c r="M59" s="13">
        <f>+K60</f>
        <v>25</v>
      </c>
      <c r="N59" s="13">
        <f>+M60</f>
        <v>25</v>
      </c>
      <c r="O59" s="13">
        <f t="shared" ref="O59:V59" si="74">+N60</f>
        <v>25</v>
      </c>
      <c r="P59" s="13">
        <f t="shared" si="74"/>
        <v>25</v>
      </c>
      <c r="Q59" s="13">
        <f t="shared" si="74"/>
        <v>25</v>
      </c>
      <c r="R59" s="13">
        <f t="shared" si="74"/>
        <v>25</v>
      </c>
      <c r="S59" s="13">
        <f t="shared" si="74"/>
        <v>25</v>
      </c>
      <c r="T59" s="13">
        <f t="shared" si="74"/>
        <v>25</v>
      </c>
      <c r="U59" s="13">
        <f t="shared" si="74"/>
        <v>25</v>
      </c>
      <c r="V59" s="13">
        <f t="shared" si="74"/>
        <v>25</v>
      </c>
    </row>
    <row r="60" spans="3:22" x14ac:dyDescent="0.15">
      <c r="C60" s="13" t="s">
        <v>61</v>
      </c>
      <c r="D60" s="13"/>
      <c r="E60" s="13"/>
      <c r="F60" s="13"/>
      <c r="G60" s="13"/>
      <c r="H60" s="13"/>
      <c r="I60" s="13"/>
      <c r="J60" s="13"/>
      <c r="K60" s="13">
        <f>+K59</f>
        <v>25</v>
      </c>
      <c r="L60" s="38"/>
      <c r="M60" s="13">
        <f>+M59</f>
        <v>25</v>
      </c>
      <c r="N60" s="13">
        <f>+N59</f>
        <v>25</v>
      </c>
      <c r="O60" s="13">
        <f t="shared" ref="O60:V60" si="75">+O59</f>
        <v>25</v>
      </c>
      <c r="P60" s="13">
        <f t="shared" si="75"/>
        <v>25</v>
      </c>
      <c r="Q60" s="13">
        <f t="shared" si="75"/>
        <v>25</v>
      </c>
      <c r="R60" s="13">
        <f t="shared" si="75"/>
        <v>25</v>
      </c>
      <c r="S60" s="13">
        <f t="shared" si="75"/>
        <v>25</v>
      </c>
      <c r="T60" s="13">
        <f t="shared" si="75"/>
        <v>25</v>
      </c>
      <c r="U60" s="13">
        <f t="shared" si="75"/>
        <v>25</v>
      </c>
      <c r="V60" s="13">
        <f t="shared" si="75"/>
        <v>25</v>
      </c>
    </row>
    <row r="61" spans="3:22" ht="10.25" customHeight="1" x14ac:dyDescent="0.15">
      <c r="C61" s="13"/>
      <c r="D61" s="13"/>
      <c r="E61" s="13"/>
      <c r="F61" s="13"/>
      <c r="G61" s="13"/>
      <c r="H61" s="13"/>
      <c r="I61" s="13"/>
      <c r="J61" s="13"/>
      <c r="K61" s="13"/>
      <c r="L61" s="38"/>
      <c r="M61" s="13"/>
      <c r="N61" s="13"/>
      <c r="O61" s="13"/>
      <c r="P61" s="13"/>
      <c r="Q61" s="13"/>
      <c r="R61" s="13"/>
      <c r="S61" s="13"/>
      <c r="T61" s="13"/>
      <c r="U61" s="13"/>
      <c r="V61" s="13"/>
    </row>
    <row r="62" spans="3:22" x14ac:dyDescent="0.15">
      <c r="C62" s="44" t="s">
        <v>54</v>
      </c>
      <c r="D62" s="44"/>
      <c r="E62" s="44"/>
      <c r="F62" s="44"/>
      <c r="G62" s="44"/>
      <c r="H62" s="44"/>
      <c r="I62" s="44"/>
      <c r="J62" s="44"/>
      <c r="K62" s="45">
        <f>+AVERAGE(K59:K60)*K63*-1</f>
        <v>0</v>
      </c>
      <c r="L62" s="44"/>
      <c r="M62" s="45">
        <f>+AVERAGE(M59:M60)*M63*-1</f>
        <v>-1.25</v>
      </c>
      <c r="N62" s="45">
        <f t="shared" ref="N62:V62" si="76">+AVERAGE(N59:N60)*N63*-1</f>
        <v>-1.25</v>
      </c>
      <c r="O62" s="45">
        <f t="shared" si="76"/>
        <v>-1.25</v>
      </c>
      <c r="P62" s="45">
        <f t="shared" si="76"/>
        <v>-1.25</v>
      </c>
      <c r="Q62" s="45">
        <f t="shared" si="76"/>
        <v>-1.25</v>
      </c>
      <c r="R62" s="45">
        <f t="shared" si="76"/>
        <v>-1.25</v>
      </c>
      <c r="S62" s="45">
        <f t="shared" si="76"/>
        <v>-1.25</v>
      </c>
      <c r="T62" s="45">
        <f t="shared" si="76"/>
        <v>-1.25</v>
      </c>
      <c r="U62" s="45">
        <f t="shared" si="76"/>
        <v>-1.25</v>
      </c>
      <c r="V62" s="45">
        <f t="shared" si="76"/>
        <v>-1.25</v>
      </c>
    </row>
    <row r="63" spans="3:22" s="30" customFormat="1" x14ac:dyDescent="0.15">
      <c r="C63" s="39" t="s">
        <v>62</v>
      </c>
      <c r="D63" s="40"/>
      <c r="E63" s="40"/>
      <c r="F63" s="40"/>
      <c r="G63" s="40"/>
      <c r="H63" s="40"/>
      <c r="I63" s="40"/>
      <c r="J63" s="40"/>
      <c r="K63" s="41">
        <f>+'Operational Assumptions'!K86</f>
        <v>0</v>
      </c>
      <c r="L63" s="42"/>
      <c r="M63" s="43">
        <f>+'Operational Assumptions'!M86</f>
        <v>0.05</v>
      </c>
      <c r="N63" s="43">
        <f>+'Operational Assumptions'!N86</f>
        <v>0.05</v>
      </c>
      <c r="O63" s="43">
        <f>+'Operational Assumptions'!O86</f>
        <v>0.05</v>
      </c>
      <c r="P63" s="43">
        <f>+'Operational Assumptions'!P86</f>
        <v>0.05</v>
      </c>
      <c r="Q63" s="43">
        <f>+'Operational Assumptions'!Q86</f>
        <v>0.05</v>
      </c>
      <c r="R63" s="43">
        <f>+'Operational Assumptions'!R86</f>
        <v>0.05</v>
      </c>
      <c r="S63" s="43">
        <f>+'Operational Assumptions'!S86</f>
        <v>0.05</v>
      </c>
      <c r="T63" s="43">
        <f>+'Operational Assumptions'!T86</f>
        <v>0.05</v>
      </c>
      <c r="U63" s="43">
        <f>+'Operational Assumptions'!U86</f>
        <v>0.05</v>
      </c>
      <c r="V63" s="43">
        <f>+'Operational Assumptions'!V86</f>
        <v>0.05</v>
      </c>
    </row>
    <row r="65" spans="3:22" x14ac:dyDescent="0.15">
      <c r="C65" s="13" t="s">
        <v>163</v>
      </c>
      <c r="D65" s="13"/>
      <c r="E65" s="13"/>
      <c r="F65" s="13"/>
      <c r="G65" s="13"/>
      <c r="H65" s="13"/>
      <c r="I65" s="13"/>
      <c r="J65" s="13"/>
      <c r="K65" s="13"/>
      <c r="L65" s="38"/>
      <c r="M65" s="13"/>
      <c r="N65" s="13"/>
      <c r="O65" s="13"/>
      <c r="P65" s="13"/>
      <c r="Q65" s="13"/>
      <c r="R65" s="13"/>
      <c r="S65" s="13"/>
      <c r="T65" s="13"/>
      <c r="U65" s="13"/>
      <c r="V65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04E9B-A8E0-4424-AEAB-4DA18BEB588C}">
  <dimension ref="A1"/>
  <sheetViews>
    <sheetView view="pageBreakPreview" zoomScale="60" zoomScaleNormal="100" workbookViewId="0"/>
  </sheetViews>
  <sheetFormatPr baseColWidth="10" defaultColWidth="8.83203125" defaultRowHeight="14" x14ac:dyDescent="0.15"/>
  <sheetData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65BFF-79CB-4CB5-B409-4554DD003076}">
  <dimension ref="C1:M16"/>
  <sheetViews>
    <sheetView showGridLines="0" view="pageBreakPreview" zoomScale="130" zoomScaleNormal="100" zoomScaleSheetLayoutView="130" workbookViewId="0">
      <selection activeCell="P5" sqref="P5"/>
    </sheetView>
  </sheetViews>
  <sheetFormatPr baseColWidth="10" defaultColWidth="8.83203125" defaultRowHeight="14" x14ac:dyDescent="0.15"/>
  <cols>
    <col min="1" max="2" width="1.6640625" customWidth="1"/>
    <col min="4" max="4" width="11.5" bestFit="1" customWidth="1"/>
  </cols>
  <sheetData>
    <row r="1" spans="3:13" ht="10" customHeight="1" x14ac:dyDescent="0.15"/>
    <row r="2" spans="3:13" ht="10" customHeight="1" x14ac:dyDescent="0.15"/>
    <row r="3" spans="3:13" x14ac:dyDescent="0.15"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</row>
    <row r="4" spans="3:13" x14ac:dyDescent="0.15">
      <c r="C4" s="68" t="s">
        <v>63</v>
      </c>
      <c r="D4" s="55"/>
      <c r="E4" s="55"/>
      <c r="F4" s="55"/>
      <c r="G4" s="55"/>
      <c r="H4" s="55"/>
      <c r="I4" s="55"/>
      <c r="J4" s="55"/>
      <c r="K4" s="55"/>
      <c r="L4" s="55"/>
      <c r="M4" s="55"/>
    </row>
    <row r="5" spans="3:13" x14ac:dyDescent="0.15">
      <c r="C5" s="68" t="str">
        <f>+Model!C5</f>
        <v>$ MM, unless otherwise stated</v>
      </c>
      <c r="D5" s="55"/>
      <c r="E5" s="55"/>
      <c r="F5" s="55"/>
      <c r="G5" s="55"/>
      <c r="H5" s="55"/>
      <c r="I5" s="55"/>
      <c r="J5" s="55"/>
      <c r="K5" s="55"/>
      <c r="L5" s="55"/>
      <c r="M5" s="55"/>
    </row>
    <row r="7" spans="3:13" x14ac:dyDescent="0.15">
      <c r="C7" s="57" t="s">
        <v>64</v>
      </c>
      <c r="D7" s="58"/>
      <c r="E7" s="58"/>
      <c r="F7" s="58"/>
      <c r="G7" s="58"/>
      <c r="H7" s="58"/>
      <c r="I7" s="58"/>
      <c r="J7" s="58"/>
      <c r="K7" s="59"/>
      <c r="L7" s="59"/>
      <c r="M7" s="59"/>
    </row>
    <row r="9" spans="3:13" x14ac:dyDescent="0.15">
      <c r="C9" s="60" t="s">
        <v>65</v>
      </c>
      <c r="D9" s="61"/>
    </row>
    <row r="10" spans="3:13" x14ac:dyDescent="0.15">
      <c r="C10" t="s">
        <v>67</v>
      </c>
      <c r="D10" s="62">
        <v>44561</v>
      </c>
    </row>
    <row r="11" spans="3:13" x14ac:dyDescent="0.15">
      <c r="C11" t="s">
        <v>66</v>
      </c>
      <c r="D11" s="62">
        <v>46022</v>
      </c>
    </row>
    <row r="12" spans="3:13" x14ac:dyDescent="0.15">
      <c r="C12" s="64" t="s">
        <v>68</v>
      </c>
      <c r="D12" s="65">
        <f>+YEARFRAC(D10,D11)</f>
        <v>4</v>
      </c>
    </row>
    <row r="14" spans="3:13" x14ac:dyDescent="0.15">
      <c r="C14" s="60" t="s">
        <v>69</v>
      </c>
      <c r="D14" s="61"/>
      <c r="E14" s="61"/>
      <c r="G14" s="60" t="s">
        <v>72</v>
      </c>
      <c r="H14" s="61"/>
      <c r="I14" s="61"/>
      <c r="K14" s="60" t="s">
        <v>73</v>
      </c>
      <c r="L14" s="61"/>
      <c r="M14" s="61"/>
    </row>
    <row r="15" spans="3:13" x14ac:dyDescent="0.15">
      <c r="C15" t="s">
        <v>70</v>
      </c>
      <c r="E15" s="66">
        <v>0.12</v>
      </c>
      <c r="G15" t="s">
        <v>70</v>
      </c>
      <c r="I15" s="67">
        <v>10</v>
      </c>
      <c r="K15" t="s">
        <v>70</v>
      </c>
      <c r="M15" s="66">
        <v>0.02</v>
      </c>
    </row>
    <row r="16" spans="3:13" x14ac:dyDescent="0.15">
      <c r="C16" s="63" t="s">
        <v>71</v>
      </c>
      <c r="D16" s="63"/>
      <c r="E16" s="69">
        <v>0.02</v>
      </c>
      <c r="G16" s="63" t="s">
        <v>71</v>
      </c>
      <c r="H16" s="63"/>
      <c r="I16" s="70">
        <v>1</v>
      </c>
      <c r="K16" s="63" t="s">
        <v>71</v>
      </c>
      <c r="L16" s="63"/>
      <c r="M16" s="69">
        <v>5.0000000000000001E-3</v>
      </c>
    </row>
  </sheetData>
  <pageMargins left="0.7" right="0.7" top="0.75" bottom="0.75" header="0.3" footer="0.3"/>
  <pageSetup paperSize="9" scale="7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9CBAC-A9E8-4B3E-BE0A-98CEBA7E3BBA}">
  <dimension ref="C1:AB124"/>
  <sheetViews>
    <sheetView showGridLines="0" zoomScale="70" zoomScaleNormal="70" workbookViewId="0">
      <pane ySplit="6" topLeftCell="A8" activePane="bottomLeft" state="frozen"/>
      <selection pane="bottomLeft" activeCell="J41" sqref="J41"/>
    </sheetView>
  </sheetViews>
  <sheetFormatPr baseColWidth="10" defaultColWidth="8.83203125" defaultRowHeight="14" x14ac:dyDescent="0.15"/>
  <cols>
    <col min="1" max="2" width="1.6640625" customWidth="1"/>
    <col min="3" max="3" width="28.6640625" bestFit="1" customWidth="1"/>
    <col min="7" max="7" width="9.5" bestFit="1" customWidth="1"/>
    <col min="8" max="13" width="12.6640625" customWidth="1"/>
    <col min="14" max="14" width="13.1640625" bestFit="1" customWidth="1"/>
    <col min="15" max="15" width="1.6640625" customWidth="1"/>
    <col min="17" max="17" width="1.6640625" customWidth="1"/>
    <col min="18" max="18" width="46.1640625" bestFit="1" customWidth="1"/>
  </cols>
  <sheetData>
    <row r="1" spans="3:14" ht="10" customHeight="1" x14ac:dyDescent="0.15"/>
    <row r="2" spans="3:14" ht="10" customHeight="1" x14ac:dyDescent="0.15"/>
    <row r="3" spans="3:14" x14ac:dyDescent="0.15"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3:14" x14ac:dyDescent="0.15">
      <c r="C4" s="68" t="s">
        <v>63</v>
      </c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</row>
    <row r="5" spans="3:14" ht="17" x14ac:dyDescent="0.3">
      <c r="C5" s="68" t="str">
        <f>+Model!C5</f>
        <v>$ MM, unless otherwise stated</v>
      </c>
      <c r="D5" s="55"/>
      <c r="E5" s="74" t="s">
        <v>77</v>
      </c>
      <c r="F5" s="75"/>
      <c r="G5" s="75"/>
      <c r="H5" s="74" t="s">
        <v>78</v>
      </c>
      <c r="I5" s="76"/>
      <c r="J5" s="76"/>
      <c r="K5" s="76"/>
      <c r="L5" s="76"/>
      <c r="M5" s="76"/>
      <c r="N5" s="237" t="s">
        <v>79</v>
      </c>
    </row>
    <row r="6" spans="3:14" x14ac:dyDescent="0.15">
      <c r="C6" s="73" t="s">
        <v>76</v>
      </c>
      <c r="D6" s="55"/>
      <c r="E6" s="77">
        <f>+F6-1</f>
        <v>2018</v>
      </c>
      <c r="F6" s="77">
        <f>+G6-1</f>
        <v>2019</v>
      </c>
      <c r="G6" s="77">
        <f>+H6-1</f>
        <v>2020</v>
      </c>
      <c r="H6" s="78">
        <f>+YEAR(Control!D10)</f>
        <v>2021</v>
      </c>
      <c r="I6" s="78">
        <f t="shared" ref="I6:M6" si="0">+H6+1</f>
        <v>2022</v>
      </c>
      <c r="J6" s="78">
        <f t="shared" si="0"/>
        <v>2023</v>
      </c>
      <c r="K6" s="78">
        <f t="shared" si="0"/>
        <v>2024</v>
      </c>
      <c r="L6" s="78">
        <f t="shared" si="0"/>
        <v>2025</v>
      </c>
      <c r="M6" s="78">
        <f t="shared" si="0"/>
        <v>2026</v>
      </c>
      <c r="N6" s="238" t="str">
        <f>+H6&amp;"E"&amp;" - "&amp;M6&amp;"E"</f>
        <v>2021E - 2026E</v>
      </c>
    </row>
    <row r="7" spans="3:14" x14ac:dyDescent="0.15">
      <c r="M7" t="s">
        <v>80</v>
      </c>
      <c r="N7" s="36"/>
    </row>
    <row r="8" spans="3:14" x14ac:dyDescent="0.15">
      <c r="C8" s="47" t="s">
        <v>57</v>
      </c>
      <c r="D8" s="46"/>
      <c r="E8" s="46"/>
      <c r="F8" s="46"/>
      <c r="G8" s="99">
        <f>+G34</f>
        <v>44196</v>
      </c>
      <c r="H8" s="99">
        <f t="shared" ref="H8:M8" si="1">+H34</f>
        <v>44561</v>
      </c>
      <c r="I8" s="99">
        <f t="shared" si="1"/>
        <v>44926</v>
      </c>
      <c r="J8" s="99">
        <f t="shared" si="1"/>
        <v>45291</v>
      </c>
      <c r="K8" s="99">
        <f t="shared" si="1"/>
        <v>45657</v>
      </c>
      <c r="L8" s="99">
        <f t="shared" si="1"/>
        <v>46022</v>
      </c>
      <c r="M8" s="99">
        <f t="shared" si="1"/>
        <v>46387</v>
      </c>
      <c r="N8" s="46"/>
    </row>
    <row r="9" spans="3:14" x14ac:dyDescent="0.15">
      <c r="N9" s="36"/>
    </row>
    <row r="10" spans="3:14" x14ac:dyDescent="0.15">
      <c r="C10" s="5" t="s">
        <v>17</v>
      </c>
      <c r="D10" s="5"/>
      <c r="E10" s="83">
        <f>+Model!I19</f>
        <v>26</v>
      </c>
      <c r="F10" s="83">
        <f>+Model!J19</f>
        <v>26</v>
      </c>
      <c r="G10" s="83">
        <f>+Model!K19</f>
        <v>36</v>
      </c>
      <c r="H10" s="83">
        <f>+Model!M19</f>
        <v>39.450000000000003</v>
      </c>
      <c r="I10" s="83">
        <f>+Model!N19</f>
        <v>43.237500000000004</v>
      </c>
      <c r="J10" s="83">
        <f>+Model!O19</f>
        <v>47.395875000000011</v>
      </c>
      <c r="K10" s="83">
        <f>+Model!P19</f>
        <v>51.96181875000002</v>
      </c>
      <c r="L10" s="83">
        <f>+Model!Q19</f>
        <v>56.975674687500018</v>
      </c>
      <c r="M10" s="83">
        <f>+Model!R19</f>
        <v>62.481799921875023</v>
      </c>
      <c r="N10" s="84">
        <f>+((M10/H10)^(1/(M$6-H$6))-1)</f>
        <v>9.6330016513214378E-2</v>
      </c>
    </row>
    <row r="11" spans="3:14" s="30" customFormat="1" x14ac:dyDescent="0.15">
      <c r="C11" s="26" t="s">
        <v>81</v>
      </c>
      <c r="E11" s="32"/>
      <c r="F11" s="32">
        <f t="shared" ref="F11" si="2">+F10/E10-1</f>
        <v>0</v>
      </c>
      <c r="G11" s="32">
        <f t="shared" ref="G11" si="3">+G10/F10-1</f>
        <v>0.38461538461538458</v>
      </c>
      <c r="H11" s="32">
        <f>+H10/G10-1</f>
        <v>9.5833333333333437E-2</v>
      </c>
      <c r="I11" s="32">
        <f t="shared" ref="I11:M11" si="4">+I10/H10-1</f>
        <v>9.6007604562737603E-2</v>
      </c>
      <c r="J11" s="32">
        <f t="shared" si="4"/>
        <v>9.617519514310513E-2</v>
      </c>
      <c r="K11" s="32">
        <f t="shared" si="4"/>
        <v>9.6336310913133438E-2</v>
      </c>
      <c r="L11" s="32">
        <f t="shared" si="4"/>
        <v>9.649115558527277E-2</v>
      </c>
      <c r="M11" s="32">
        <f t="shared" si="4"/>
        <v>9.6639930366335891E-2</v>
      </c>
      <c r="N11" s="37"/>
    </row>
    <row r="12" spans="3:14" x14ac:dyDescent="0.15">
      <c r="N12" s="36"/>
    </row>
    <row r="13" spans="3:14" x14ac:dyDescent="0.15">
      <c r="C13" s="5" t="s">
        <v>82</v>
      </c>
      <c r="D13" s="5"/>
      <c r="E13" s="83">
        <f>+Model!I31</f>
        <v>2</v>
      </c>
      <c r="F13" s="83">
        <f>+Model!J31</f>
        <v>3.5</v>
      </c>
      <c r="G13" s="83">
        <f>+Model!K31</f>
        <v>5</v>
      </c>
      <c r="H13" s="83">
        <f>+Model!M31</f>
        <v>9.8625000000000007</v>
      </c>
      <c r="I13" s="83">
        <f>+Model!N31</f>
        <v>10.809375000000001</v>
      </c>
      <c r="J13" s="83">
        <f>+Model!O31</f>
        <v>11.848968750000003</v>
      </c>
      <c r="K13" s="83">
        <f>+Model!P31</f>
        <v>12.990454687500005</v>
      </c>
      <c r="L13" s="83">
        <f>+Model!Q31</f>
        <v>14.243918671875004</v>
      </c>
      <c r="M13" s="83">
        <f>+Model!R31</f>
        <v>15.620449980468756</v>
      </c>
      <c r="N13" s="84">
        <f>+((M13/H13)^(1/(M$6-H$6))-1)</f>
        <v>9.6330016513214378E-2</v>
      </c>
    </row>
    <row r="14" spans="3:14" s="30" customFormat="1" x14ac:dyDescent="0.15">
      <c r="C14" s="26" t="s">
        <v>87</v>
      </c>
      <c r="E14" s="32"/>
      <c r="F14" s="32"/>
      <c r="G14" s="32"/>
      <c r="H14" s="32">
        <f>+H13/H10</f>
        <v>0.25</v>
      </c>
      <c r="I14" s="32">
        <f t="shared" ref="I14:M14" si="5">+I13/I10</f>
        <v>0.25</v>
      </c>
      <c r="J14" s="32">
        <f t="shared" si="5"/>
        <v>0.25</v>
      </c>
      <c r="K14" s="32">
        <f t="shared" si="5"/>
        <v>0.25</v>
      </c>
      <c r="L14" s="32">
        <f t="shared" si="5"/>
        <v>0.25</v>
      </c>
      <c r="M14" s="32">
        <f t="shared" si="5"/>
        <v>0.25</v>
      </c>
      <c r="N14" s="37"/>
    </row>
    <row r="15" spans="3:14" x14ac:dyDescent="0.15">
      <c r="C15" t="s">
        <v>48</v>
      </c>
      <c r="E15" s="79">
        <f>+Model!I34</f>
        <v>-0.5</v>
      </c>
      <c r="F15" s="79">
        <f>+Model!J34</f>
        <v>-0.5</v>
      </c>
      <c r="G15" s="79">
        <f>+Model!K34</f>
        <v>-0.5</v>
      </c>
      <c r="H15" s="79">
        <f>+Model!M34</f>
        <v>-0.98625000000000007</v>
      </c>
      <c r="I15" s="79">
        <f>+Model!N34</f>
        <v>-1.0809375000000001</v>
      </c>
      <c r="J15" s="79">
        <f>+Model!O34</f>
        <v>-1.1848968750000004</v>
      </c>
      <c r="K15" s="79">
        <f>+Model!P34</f>
        <v>-1.2990454687500006</v>
      </c>
      <c r="L15" s="79">
        <f>+Model!Q34</f>
        <v>-1.4243918671875004</v>
      </c>
      <c r="M15" s="79">
        <f>+Model!R34</f>
        <v>-1.5620449980468756</v>
      </c>
      <c r="N15" s="36"/>
    </row>
    <row r="16" spans="3:14" s="30" customFormat="1" x14ac:dyDescent="0.15">
      <c r="C16" s="26" t="s">
        <v>86</v>
      </c>
      <c r="E16" s="32">
        <f>+E15/E10</f>
        <v>-1.9230769230769232E-2</v>
      </c>
      <c r="F16" s="32">
        <f t="shared" ref="F16:M16" si="6">+F15/F10</f>
        <v>-1.9230769230769232E-2</v>
      </c>
      <c r="G16" s="32">
        <f t="shared" si="6"/>
        <v>-1.3888888888888888E-2</v>
      </c>
      <c r="H16" s="32">
        <f t="shared" si="6"/>
        <v>-2.5000000000000001E-2</v>
      </c>
      <c r="I16" s="32">
        <f t="shared" si="6"/>
        <v>-2.5000000000000001E-2</v>
      </c>
      <c r="J16" s="32">
        <f t="shared" si="6"/>
        <v>-2.5000000000000001E-2</v>
      </c>
      <c r="K16" s="32">
        <f t="shared" si="6"/>
        <v>-2.5000000000000001E-2</v>
      </c>
      <c r="L16" s="32">
        <f t="shared" si="6"/>
        <v>-2.5000000000000001E-2</v>
      </c>
      <c r="M16" s="32">
        <f t="shared" si="6"/>
        <v>-2.5000000000000001E-2</v>
      </c>
      <c r="N16" s="37"/>
    </row>
    <row r="17" spans="3:14" x14ac:dyDescent="0.15">
      <c r="C17" s="81" t="s">
        <v>50</v>
      </c>
      <c r="D17" s="81"/>
      <c r="E17" s="81"/>
      <c r="F17" s="81"/>
      <c r="G17" s="81"/>
      <c r="H17" s="82">
        <f>+H13+H15</f>
        <v>8.8762500000000006</v>
      </c>
      <c r="I17" s="82">
        <f t="shared" ref="I17:M17" si="7">+I13+I15</f>
        <v>9.7284375000000018</v>
      </c>
      <c r="J17" s="82">
        <f t="shared" si="7"/>
        <v>10.664071875000003</v>
      </c>
      <c r="K17" s="82">
        <f t="shared" si="7"/>
        <v>11.691409218750005</v>
      </c>
      <c r="L17" s="82">
        <f t="shared" si="7"/>
        <v>12.819526804687504</v>
      </c>
      <c r="M17" s="82">
        <f t="shared" si="7"/>
        <v>14.05840498242188</v>
      </c>
      <c r="N17" s="85">
        <f>+((M17/H17)^(1/(M$6-H$6))-1)</f>
        <v>9.6330016513214378E-2</v>
      </c>
    </row>
    <row r="18" spans="3:14" s="30" customFormat="1" x14ac:dyDescent="0.15">
      <c r="C18" s="26" t="s">
        <v>45</v>
      </c>
      <c r="E18" s="32"/>
      <c r="F18" s="32"/>
      <c r="G18" s="32"/>
      <c r="H18" s="32">
        <f>+H17/H10</f>
        <v>0.22500000000000001</v>
      </c>
      <c r="I18" s="32">
        <f t="shared" ref="I18:M18" si="8">+I17/I10</f>
        <v>0.22500000000000003</v>
      </c>
      <c r="J18" s="32">
        <f t="shared" si="8"/>
        <v>0.22500000000000001</v>
      </c>
      <c r="K18" s="32">
        <f t="shared" si="8"/>
        <v>0.22500000000000001</v>
      </c>
      <c r="L18" s="32">
        <f t="shared" si="8"/>
        <v>0.22500000000000001</v>
      </c>
      <c r="M18" s="32">
        <f t="shared" si="8"/>
        <v>0.22500000000000001</v>
      </c>
      <c r="N18" s="37"/>
    </row>
    <row r="19" spans="3:14" x14ac:dyDescent="0.15">
      <c r="C19" t="s">
        <v>83</v>
      </c>
      <c r="H19" s="29">
        <f>+H17*H20</f>
        <v>-1.7752500000000002</v>
      </c>
      <c r="I19" s="29">
        <f t="shared" ref="I19:M19" si="9">+I17*I20</f>
        <v>-1.9456875000000005</v>
      </c>
      <c r="J19" s="29">
        <f t="shared" si="9"/>
        <v>-2.1328143750000006</v>
      </c>
      <c r="K19" s="29">
        <f t="shared" si="9"/>
        <v>-2.3382818437500013</v>
      </c>
      <c r="L19" s="29">
        <f t="shared" si="9"/>
        <v>-2.5639053609375009</v>
      </c>
      <c r="M19" s="29">
        <f t="shared" si="9"/>
        <v>-2.8116809964843763</v>
      </c>
      <c r="N19" s="36"/>
    </row>
    <row r="20" spans="3:14" s="30" customFormat="1" x14ac:dyDescent="0.15">
      <c r="C20" s="26" t="s">
        <v>84</v>
      </c>
      <c r="E20" s="32"/>
      <c r="F20" s="32"/>
      <c r="G20" s="32"/>
      <c r="H20" s="31">
        <f>+Model!M42*-1</f>
        <v>-0.2</v>
      </c>
      <c r="I20" s="31">
        <f>+Model!N42*-1</f>
        <v>-0.2</v>
      </c>
      <c r="J20" s="31">
        <f>+Model!O42*-1</f>
        <v>-0.2</v>
      </c>
      <c r="K20" s="31">
        <f>+Model!P42*-1</f>
        <v>-0.2</v>
      </c>
      <c r="L20" s="31">
        <f>+Model!Q42*-1</f>
        <v>-0.2</v>
      </c>
      <c r="M20" s="31">
        <f>+Model!R42*-1</f>
        <v>-0.2</v>
      </c>
      <c r="N20" s="37"/>
    </row>
    <row r="21" spans="3:14" x14ac:dyDescent="0.15">
      <c r="C21" s="81" t="s">
        <v>85</v>
      </c>
      <c r="D21" s="81"/>
      <c r="E21" s="81"/>
      <c r="F21" s="81"/>
      <c r="G21" s="81"/>
      <c r="H21" s="82">
        <f>+H17+H19</f>
        <v>7.1010000000000009</v>
      </c>
      <c r="I21" s="82">
        <f t="shared" ref="I21:M21" si="10">+I17+I19</f>
        <v>7.7827500000000018</v>
      </c>
      <c r="J21" s="82">
        <f t="shared" si="10"/>
        <v>8.5312575000000024</v>
      </c>
      <c r="K21" s="82">
        <f t="shared" si="10"/>
        <v>9.3531273750000032</v>
      </c>
      <c r="L21" s="82">
        <f t="shared" si="10"/>
        <v>10.255621443750004</v>
      </c>
      <c r="M21" s="82">
        <f t="shared" si="10"/>
        <v>11.246723985937503</v>
      </c>
      <c r="N21" s="85">
        <f>+((M21/H21)^(1/(M$6-H$6))-1)</f>
        <v>9.6330016513214378E-2</v>
      </c>
    </row>
    <row r="22" spans="3:14" s="30" customFormat="1" x14ac:dyDescent="0.15">
      <c r="C22" s="26" t="s">
        <v>86</v>
      </c>
      <c r="E22" s="32"/>
      <c r="F22" s="32"/>
      <c r="G22" s="32"/>
      <c r="H22" s="32">
        <f>+H21/H10</f>
        <v>0.18000000000000002</v>
      </c>
      <c r="I22" s="32">
        <f t="shared" ref="I22:M22" si="11">+I21/I10</f>
        <v>0.18000000000000002</v>
      </c>
      <c r="J22" s="32">
        <f t="shared" si="11"/>
        <v>0.18000000000000002</v>
      </c>
      <c r="K22" s="32">
        <f t="shared" si="11"/>
        <v>0.18</v>
      </c>
      <c r="L22" s="32">
        <f t="shared" si="11"/>
        <v>0.18</v>
      </c>
      <c r="M22" s="32">
        <f t="shared" si="11"/>
        <v>0.18</v>
      </c>
      <c r="N22" s="37"/>
    </row>
    <row r="23" spans="3:14" x14ac:dyDescent="0.15">
      <c r="C23" t="s">
        <v>48</v>
      </c>
      <c r="H23" s="28">
        <f>+H15*-1</f>
        <v>0.98625000000000007</v>
      </c>
      <c r="I23" s="28">
        <f t="shared" ref="I23:M23" si="12">+I15*-1</f>
        <v>1.0809375000000001</v>
      </c>
      <c r="J23" s="28">
        <f t="shared" si="12"/>
        <v>1.1848968750000004</v>
      </c>
      <c r="K23" s="28">
        <f t="shared" si="12"/>
        <v>1.2990454687500006</v>
      </c>
      <c r="L23" s="28">
        <f t="shared" si="12"/>
        <v>1.4243918671875004</v>
      </c>
      <c r="M23" s="28">
        <f t="shared" si="12"/>
        <v>1.5620449980468756</v>
      </c>
      <c r="N23" s="36"/>
    </row>
    <row r="24" spans="3:14" s="30" customFormat="1" x14ac:dyDescent="0.15">
      <c r="C24" s="26" t="s">
        <v>86</v>
      </c>
      <c r="E24" s="32"/>
      <c r="F24" s="32"/>
      <c r="G24" s="32"/>
      <c r="H24" s="32">
        <f>+H23/H10</f>
        <v>2.5000000000000001E-2</v>
      </c>
      <c r="I24" s="32">
        <f t="shared" ref="I24:M24" si="13">+I23/I10</f>
        <v>2.5000000000000001E-2</v>
      </c>
      <c r="J24" s="32">
        <f t="shared" si="13"/>
        <v>2.5000000000000001E-2</v>
      </c>
      <c r="K24" s="32">
        <f t="shared" si="13"/>
        <v>2.5000000000000001E-2</v>
      </c>
      <c r="L24" s="32">
        <f t="shared" si="13"/>
        <v>2.5000000000000001E-2</v>
      </c>
      <c r="M24" s="32">
        <f t="shared" si="13"/>
        <v>2.5000000000000001E-2</v>
      </c>
      <c r="N24" s="37"/>
    </row>
    <row r="25" spans="3:14" x14ac:dyDescent="0.15">
      <c r="C25" t="s">
        <v>31</v>
      </c>
      <c r="H25" s="28">
        <f>+Model!M51</f>
        <v>0</v>
      </c>
      <c r="I25" s="28">
        <f>+Model!N51</f>
        <v>0</v>
      </c>
      <c r="J25" s="28">
        <f>+Model!O51</f>
        <v>0</v>
      </c>
      <c r="K25" s="28">
        <f>+Model!P51</f>
        <v>0</v>
      </c>
      <c r="L25" s="28">
        <f>+Model!Q51</f>
        <v>0</v>
      </c>
      <c r="M25" s="28">
        <f>+Model!R51</f>
        <v>0</v>
      </c>
      <c r="N25" s="36"/>
    </row>
    <row r="26" spans="3:14" s="30" customFormat="1" x14ac:dyDescent="0.15">
      <c r="C26" s="26" t="s">
        <v>86</v>
      </c>
      <c r="E26" s="32"/>
      <c r="F26" s="32"/>
      <c r="G26" s="32"/>
      <c r="H26" s="32">
        <f>+H25/H10</f>
        <v>0</v>
      </c>
      <c r="I26" s="32">
        <f t="shared" ref="I26:M26" si="14">+I25/I10</f>
        <v>0</v>
      </c>
      <c r="J26" s="32">
        <f t="shared" si="14"/>
        <v>0</v>
      </c>
      <c r="K26" s="32">
        <f t="shared" si="14"/>
        <v>0</v>
      </c>
      <c r="L26" s="32">
        <f t="shared" si="14"/>
        <v>0</v>
      </c>
      <c r="M26" s="32">
        <f t="shared" si="14"/>
        <v>0</v>
      </c>
      <c r="N26" s="37"/>
    </row>
    <row r="27" spans="3:14" x14ac:dyDescent="0.15">
      <c r="C27" t="s">
        <v>56</v>
      </c>
      <c r="H27" s="79">
        <f>+Model!M48</f>
        <v>-1.9725000000000001</v>
      </c>
      <c r="I27" s="79">
        <f>+Model!N48</f>
        <v>-2.1618750000000002</v>
      </c>
      <c r="J27" s="79">
        <f>+Model!O48</f>
        <v>-2.3697937500000008</v>
      </c>
      <c r="K27" s="79">
        <f>+Model!P48</f>
        <v>-2.5980909375000012</v>
      </c>
      <c r="L27" s="79">
        <f>+Model!Q48</f>
        <v>-2.8487837343750009</v>
      </c>
      <c r="M27" s="79">
        <f>+Model!R48</f>
        <v>-3.1240899960937512</v>
      </c>
      <c r="N27" s="36"/>
    </row>
    <row r="28" spans="3:14" s="30" customFormat="1" x14ac:dyDescent="0.15">
      <c r="C28" s="26" t="s">
        <v>86</v>
      </c>
      <c r="E28" s="32"/>
      <c r="F28" s="32"/>
      <c r="G28" s="32"/>
      <c r="H28" s="32">
        <f>+H27/H10</f>
        <v>-0.05</v>
      </c>
      <c r="I28" s="32">
        <f t="shared" ref="I28:M28" si="15">+I27/I10</f>
        <v>-0.05</v>
      </c>
      <c r="J28" s="32">
        <f t="shared" si="15"/>
        <v>-0.05</v>
      </c>
      <c r="K28" s="32">
        <f t="shared" si="15"/>
        <v>-0.05</v>
      </c>
      <c r="L28" s="32">
        <f t="shared" si="15"/>
        <v>-0.05</v>
      </c>
      <c r="M28" s="32">
        <f t="shared" si="15"/>
        <v>-0.05</v>
      </c>
      <c r="N28" s="37"/>
    </row>
    <row r="29" spans="3:14" x14ac:dyDescent="0.15">
      <c r="C29" s="81" t="s">
        <v>88</v>
      </c>
      <c r="D29" s="81"/>
      <c r="E29" s="81"/>
      <c r="F29" s="81"/>
      <c r="G29" s="81"/>
      <c r="H29" s="82">
        <f>+H21+H23+H25+H27</f>
        <v>6.1147500000000008</v>
      </c>
      <c r="I29" s="82">
        <f t="shared" ref="I29:M29" si="16">+I21+I23+I25+I27</f>
        <v>6.7018125000000008</v>
      </c>
      <c r="J29" s="82">
        <f t="shared" si="16"/>
        <v>7.3463606250000009</v>
      </c>
      <c r="K29" s="82">
        <f t="shared" si="16"/>
        <v>8.0540819062500013</v>
      </c>
      <c r="L29" s="82">
        <f t="shared" si="16"/>
        <v>8.8312295765625031</v>
      </c>
      <c r="M29" s="82">
        <f t="shared" si="16"/>
        <v>9.6846789878906279</v>
      </c>
      <c r="N29" s="85">
        <f>+((M29/H29)^(1/(M$6-H$6))-1)</f>
        <v>9.6330016513214378E-2</v>
      </c>
    </row>
    <row r="30" spans="3:14" s="30" customFormat="1" x14ac:dyDescent="0.15">
      <c r="C30" s="26" t="s">
        <v>87</v>
      </c>
      <c r="E30" s="32"/>
      <c r="F30" s="32"/>
      <c r="G30" s="32"/>
      <c r="H30" s="32">
        <f>+H29/H10</f>
        <v>0.155</v>
      </c>
      <c r="I30" s="32">
        <f t="shared" ref="I30:M30" si="17">+I29/I10</f>
        <v>0.155</v>
      </c>
      <c r="J30" s="32">
        <f t="shared" si="17"/>
        <v>0.15499999999999997</v>
      </c>
      <c r="K30" s="32">
        <f t="shared" si="17"/>
        <v>0.15499999999999997</v>
      </c>
      <c r="L30" s="32">
        <f t="shared" si="17"/>
        <v>0.155</v>
      </c>
      <c r="M30" s="32">
        <f t="shared" si="17"/>
        <v>0.155</v>
      </c>
      <c r="N30" s="37"/>
    </row>
    <row r="31" spans="3:14" s="30" customFormat="1" x14ac:dyDescent="0.15">
      <c r="C31" s="26" t="s">
        <v>90</v>
      </c>
      <c r="E31" s="32"/>
      <c r="F31" s="32"/>
      <c r="G31" s="32"/>
      <c r="H31" s="32">
        <f>+H29/H13</f>
        <v>0.62</v>
      </c>
      <c r="I31" s="32">
        <f t="shared" ref="I31:M31" si="18">+I29/I13</f>
        <v>0.62</v>
      </c>
      <c r="J31" s="32">
        <f t="shared" si="18"/>
        <v>0.61999999999999988</v>
      </c>
      <c r="K31" s="32">
        <f t="shared" si="18"/>
        <v>0.61999999999999988</v>
      </c>
      <c r="L31" s="32">
        <f t="shared" si="18"/>
        <v>0.62</v>
      </c>
      <c r="M31" s="32">
        <f t="shared" si="18"/>
        <v>0.62</v>
      </c>
      <c r="N31" s="37"/>
    </row>
    <row r="32" spans="3:14" x14ac:dyDescent="0.15">
      <c r="C32" s="81" t="s">
        <v>91</v>
      </c>
      <c r="D32" s="81"/>
      <c r="E32" s="81"/>
      <c r="F32" s="81"/>
      <c r="G32" s="81"/>
      <c r="H32" s="82">
        <f>+H21+H25</f>
        <v>7.1010000000000009</v>
      </c>
      <c r="I32" s="82">
        <f t="shared" ref="I32:M32" si="19">+I21+I25</f>
        <v>7.7827500000000018</v>
      </c>
      <c r="J32" s="82">
        <f t="shared" si="19"/>
        <v>8.5312575000000024</v>
      </c>
      <c r="K32" s="82">
        <f t="shared" si="19"/>
        <v>9.3531273750000032</v>
      </c>
      <c r="L32" s="82">
        <f t="shared" si="19"/>
        <v>10.255621443750004</v>
      </c>
      <c r="M32" s="82">
        <f t="shared" si="19"/>
        <v>11.246723985937503</v>
      </c>
      <c r="N32" s="85">
        <f>+((M32/H32)^(1/(M$6-H$6))-1)</f>
        <v>9.6330016513214378E-2</v>
      </c>
    </row>
    <row r="33" spans="3:14" x14ac:dyDescent="0.15">
      <c r="N33" s="36"/>
    </row>
    <row r="34" spans="3:14" x14ac:dyDescent="0.15">
      <c r="C34" t="s">
        <v>92</v>
      </c>
      <c r="G34" s="86">
        <f>+EDATE(Control!D10,-12)</f>
        <v>44196</v>
      </c>
      <c r="H34" s="87">
        <f>+EDATE(G34,12)</f>
        <v>44561</v>
      </c>
      <c r="I34" s="87">
        <f t="shared" ref="I34:M34" si="20">+EDATE(H34,12)</f>
        <v>44926</v>
      </c>
      <c r="J34" s="87">
        <f t="shared" si="20"/>
        <v>45291</v>
      </c>
      <c r="K34" s="87">
        <f t="shared" si="20"/>
        <v>45657</v>
      </c>
      <c r="L34" s="87">
        <f t="shared" si="20"/>
        <v>46022</v>
      </c>
      <c r="M34" s="87">
        <f t="shared" si="20"/>
        <v>46387</v>
      </c>
      <c r="N34" s="36"/>
    </row>
    <row r="35" spans="3:14" x14ac:dyDescent="0.15">
      <c r="C35" t="s">
        <v>93</v>
      </c>
      <c r="H35" s="66">
        <v>1</v>
      </c>
      <c r="I35" s="66">
        <v>1</v>
      </c>
      <c r="J35" s="66">
        <v>1</v>
      </c>
      <c r="K35" s="66">
        <v>1</v>
      </c>
      <c r="L35" s="66">
        <v>1</v>
      </c>
      <c r="M35" s="66">
        <v>1</v>
      </c>
      <c r="N35" s="36"/>
    </row>
    <row r="36" spans="3:14" x14ac:dyDescent="0.15">
      <c r="C36" t="s">
        <v>94</v>
      </c>
      <c r="H36">
        <f>+YEARFRAC($G$34,H34)-0.5</f>
        <v>0.5</v>
      </c>
      <c r="I36">
        <f t="shared" ref="I36:M36" si="21">+YEARFRAC($G$34,I34)-0.5</f>
        <v>1.5</v>
      </c>
      <c r="J36">
        <f t="shared" si="21"/>
        <v>2.5</v>
      </c>
      <c r="K36">
        <f t="shared" si="21"/>
        <v>3.5</v>
      </c>
      <c r="L36">
        <f t="shared" si="21"/>
        <v>4.5</v>
      </c>
      <c r="M36">
        <f t="shared" si="21"/>
        <v>5.5</v>
      </c>
      <c r="N36" s="36"/>
    </row>
    <row r="37" spans="3:14" x14ac:dyDescent="0.15">
      <c r="C37" t="s">
        <v>95</v>
      </c>
      <c r="H37">
        <f>+IF(Control!$D$11=DCF!H34,DCF!H36+0.5,0)</f>
        <v>0</v>
      </c>
      <c r="I37">
        <f>+IF(Control!$D$11=DCF!I34,DCF!I36+0.5,0)</f>
        <v>0</v>
      </c>
      <c r="J37">
        <f>+IF(Control!$D$11=DCF!J34,DCF!J36+0.5,0)</f>
        <v>0</v>
      </c>
      <c r="K37">
        <f>+IF(Control!$D$11=DCF!K34,DCF!K36+0.5,0)</f>
        <v>0</v>
      </c>
      <c r="L37">
        <f>+IF(Control!$D$11=DCF!L34,DCF!L36+0.5,0)</f>
        <v>5</v>
      </c>
      <c r="M37">
        <f>+IF(Control!$D$11=DCF!M34,DCF!M36+0.5,0)</f>
        <v>0</v>
      </c>
      <c r="N37" s="36"/>
    </row>
    <row r="38" spans="3:14" x14ac:dyDescent="0.15">
      <c r="C38" s="81" t="s">
        <v>96</v>
      </c>
      <c r="D38" s="81"/>
      <c r="E38" s="81"/>
      <c r="F38" s="81"/>
      <c r="G38" s="81"/>
      <c r="H38" s="82">
        <f>+H35*H29</f>
        <v>6.1147500000000008</v>
      </c>
      <c r="I38" s="82">
        <f t="shared" ref="I38:M38" si="22">+I35*I29</f>
        <v>6.7018125000000008</v>
      </c>
      <c r="J38" s="82">
        <f t="shared" si="22"/>
        <v>7.3463606250000009</v>
      </c>
      <c r="K38" s="82">
        <f t="shared" si="22"/>
        <v>8.0540819062500013</v>
      </c>
      <c r="L38" s="82">
        <f t="shared" si="22"/>
        <v>8.8312295765625031</v>
      </c>
      <c r="M38" s="82">
        <f t="shared" si="22"/>
        <v>9.6846789878906279</v>
      </c>
      <c r="N38" s="85">
        <f>+((M38/H38)^(1/(M$6-H$6))-1)</f>
        <v>9.6330016513214378E-2</v>
      </c>
    </row>
    <row r="39" spans="3:14" x14ac:dyDescent="0.15">
      <c r="N39" s="36"/>
    </row>
    <row r="40" spans="3:14" x14ac:dyDescent="0.15">
      <c r="C40" s="47" t="s">
        <v>97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</row>
    <row r="41" spans="3:14" x14ac:dyDescent="0.15">
      <c r="N41" s="36"/>
    </row>
    <row r="42" spans="3:14" x14ac:dyDescent="0.15">
      <c r="C42" s="88" t="s">
        <v>69</v>
      </c>
      <c r="N42" s="95" t="s">
        <v>98</v>
      </c>
    </row>
    <row r="43" spans="3:14" x14ac:dyDescent="0.15">
      <c r="C43" s="89">
        <f>+Control!E15</f>
        <v>0.12</v>
      </c>
      <c r="D43" s="64"/>
      <c r="E43" s="64"/>
      <c r="F43" s="64"/>
      <c r="G43" s="64"/>
      <c r="H43" s="92">
        <f>+H$38/(1+$C43)^(H36)</f>
        <v>5.7778956533329309</v>
      </c>
      <c r="I43" s="92">
        <f t="shared" ref="I43:M43" si="23">+I$38/(1+$C43)^(I36)</f>
        <v>5.6541228343061416</v>
      </c>
      <c r="J43" s="92">
        <f t="shared" si="23"/>
        <v>5.533847501123768</v>
      </c>
      <c r="K43" s="92">
        <f t="shared" si="23"/>
        <v>5.416926745123118</v>
      </c>
      <c r="L43" s="92">
        <f t="shared" si="23"/>
        <v>5.3032252379293032</v>
      </c>
      <c r="M43" s="92">
        <f t="shared" si="23"/>
        <v>5.1926147818212369</v>
      </c>
      <c r="N43" s="96">
        <f>SUM(H43:M43)</f>
        <v>32.878632753636502</v>
      </c>
    </row>
    <row r="44" spans="3:14" x14ac:dyDescent="0.15">
      <c r="C44" s="90">
        <f>+C43+Control!E16</f>
        <v>0.13999999999999999</v>
      </c>
      <c r="H44" s="93">
        <f>+H$38/(1+$C44)^(H36)</f>
        <v>5.7269880913691642</v>
      </c>
      <c r="I44" s="93">
        <f t="shared" ref="I44:M44" si="24">+I$38/(1+$C44)^(I36)</f>
        <v>5.5059846485796866</v>
      </c>
      <c r="J44" s="93">
        <f t="shared" si="24"/>
        <v>5.2943191198348938</v>
      </c>
      <c r="K44" s="93">
        <f t="shared" si="24"/>
        <v>5.0915388531900483</v>
      </c>
      <c r="L44" s="93">
        <f t="shared" si="24"/>
        <v>4.8972169481067302</v>
      </c>
      <c r="M44" s="93">
        <f t="shared" si="24"/>
        <v>4.7109505727724592</v>
      </c>
      <c r="N44" s="97">
        <f t="shared" ref="N44:N45" si="25">SUM(H44:M44)</f>
        <v>31.226998233852981</v>
      </c>
    </row>
    <row r="45" spans="3:14" x14ac:dyDescent="0.15">
      <c r="C45" s="91">
        <f>+C44+Control!E16</f>
        <v>0.15999999999999998</v>
      </c>
      <c r="D45" s="63"/>
      <c r="E45" s="63"/>
      <c r="F45" s="63"/>
      <c r="G45" s="63"/>
      <c r="H45" s="94">
        <f>+H$38/(1+$C45)^(H36)</f>
        <v>5.67740284559064</v>
      </c>
      <c r="I45" s="94">
        <f t="shared" ref="I45:M45" si="26">+I$38/(1+$C45)^(I36)</f>
        <v>5.3642040456323006</v>
      </c>
      <c r="J45" s="94">
        <f t="shared" si="26"/>
        <v>5.0690581176796723</v>
      </c>
      <c r="K45" s="94">
        <f t="shared" si="26"/>
        <v>4.7908555832251762</v>
      </c>
      <c r="L45" s="94">
        <f t="shared" si="26"/>
        <v>4.528561012666148</v>
      </c>
      <c r="M45" s="94">
        <f t="shared" si="26"/>
        <v>4.2812076151637131</v>
      </c>
      <c r="N45" s="98">
        <f t="shared" si="25"/>
        <v>29.711289219957653</v>
      </c>
    </row>
    <row r="46" spans="3:14" x14ac:dyDescent="0.15">
      <c r="N46" s="36"/>
    </row>
    <row r="47" spans="3:14" x14ac:dyDescent="0.15">
      <c r="C47" s="101" t="str">
        <f>+YEAR(Control!$D$11)&amp;"E"&amp;" EBITDA"</f>
        <v>2025E EBITDA</v>
      </c>
      <c r="H47" s="103" t="s">
        <v>102</v>
      </c>
      <c r="I47" s="103"/>
      <c r="J47" s="103"/>
      <c r="K47" s="103"/>
      <c r="L47" s="103"/>
      <c r="N47" s="36"/>
    </row>
    <row r="48" spans="3:14" x14ac:dyDescent="0.15">
      <c r="C48" s="102">
        <f>+HLOOKUP(Control!D11,DCF!C8:M13,6)</f>
        <v>14.243918671875004</v>
      </c>
      <c r="H48" s="111"/>
      <c r="I48" s="112" t="s">
        <v>103</v>
      </c>
      <c r="J48" s="112" t="s">
        <v>105</v>
      </c>
      <c r="K48" s="112" t="s">
        <v>107</v>
      </c>
      <c r="L48" s="115" t="s">
        <v>109</v>
      </c>
      <c r="N48" s="36"/>
    </row>
    <row r="49" spans="3:14" x14ac:dyDescent="0.15">
      <c r="C49" s="101" t="s">
        <v>99</v>
      </c>
      <c r="H49" s="113" t="s">
        <v>69</v>
      </c>
      <c r="I49" s="114" t="s">
        <v>104</v>
      </c>
      <c r="J49" s="114" t="s">
        <v>106</v>
      </c>
      <c r="K49" s="114" t="s">
        <v>108</v>
      </c>
      <c r="L49" s="116" t="s">
        <v>110</v>
      </c>
      <c r="N49" s="36"/>
    </row>
    <row r="50" spans="3:14" x14ac:dyDescent="0.15">
      <c r="C50" s="102">
        <f>+HLOOKUP(Control!$D$11,DCF!$H$34:$M$37,4)</f>
        <v>5</v>
      </c>
      <c r="H50" s="104">
        <f>+C43</f>
        <v>0.12</v>
      </c>
      <c r="I50" s="105">
        <f>+Control!I15</f>
        <v>10</v>
      </c>
      <c r="J50" s="124">
        <f>+$C$48*I50</f>
        <v>142.43918671875005</v>
      </c>
      <c r="K50" s="124">
        <f>+(J50)/(1+H50)^$C$50</f>
        <v>80.823819850934797</v>
      </c>
      <c r="L50" s="117">
        <f>+((J50*(1+H50)^0.5)*H50-$C$54)/($C$54+(J50/(1+H50)^0.5))</f>
        <v>5.4081481132549923E-2</v>
      </c>
      <c r="N50" s="36"/>
    </row>
    <row r="51" spans="3:14" x14ac:dyDescent="0.15">
      <c r="C51" s="101" t="s">
        <v>100</v>
      </c>
      <c r="H51" s="106">
        <f>+C44</f>
        <v>0.13999999999999999</v>
      </c>
      <c r="I51" s="107">
        <f>+I50</f>
        <v>10</v>
      </c>
      <c r="J51" s="100">
        <f t="shared" ref="J51:J58" si="27">+$C$48*I51</f>
        <v>142.43918671875005</v>
      </c>
      <c r="K51" s="100">
        <f t="shared" ref="K51:K58" si="28">+(J51)/(1+H51)^$C$50</f>
        <v>73.978450158615615</v>
      </c>
      <c r="L51" s="118">
        <f t="shared" ref="L51:L58" si="29">+((J51*(1+H51)^0.5)*H51-$C$54)/($C$54+(J51/(1+H51)^0.5))</f>
        <v>7.6819537454064876E-2</v>
      </c>
      <c r="N51" s="36"/>
    </row>
    <row r="52" spans="3:14" x14ac:dyDescent="0.15">
      <c r="C52" s="102">
        <f>+HLOOKUP(Control!$D$11,DCF!$H$34:$M$37,3)</f>
        <v>4.5</v>
      </c>
      <c r="H52" s="109">
        <f>+C45</f>
        <v>0.15999999999999998</v>
      </c>
      <c r="I52" s="110">
        <f>+I51</f>
        <v>10</v>
      </c>
      <c r="J52" s="125">
        <f t="shared" si="27"/>
        <v>142.43918671875005</v>
      </c>
      <c r="K52" s="125">
        <f t="shared" si="28"/>
        <v>67.817150701810689</v>
      </c>
      <c r="L52" s="119">
        <f t="shared" si="29"/>
        <v>0.10027747247118023</v>
      </c>
      <c r="N52" s="36"/>
    </row>
    <row r="53" spans="3:14" x14ac:dyDescent="0.15">
      <c r="C53" s="101" t="s">
        <v>101</v>
      </c>
      <c r="H53" s="104">
        <f>+H50</f>
        <v>0.12</v>
      </c>
      <c r="I53" s="105">
        <f>+I52+Control!I16</f>
        <v>11</v>
      </c>
      <c r="J53" s="124">
        <f t="shared" si="27"/>
        <v>156.68310539062506</v>
      </c>
      <c r="K53" s="124">
        <f t="shared" si="28"/>
        <v>88.906201836028288</v>
      </c>
      <c r="L53" s="120">
        <f t="shared" si="29"/>
        <v>6.0910139539014994E-2</v>
      </c>
      <c r="N53" s="36"/>
    </row>
    <row r="54" spans="3:14" x14ac:dyDescent="0.15">
      <c r="C54" s="102">
        <f>+HLOOKUP(Control!$D$11,DCF!$H$8:$M$32,25)</f>
        <v>10.255621443750004</v>
      </c>
      <c r="H54" s="106">
        <f t="shared" ref="H54:H58" si="30">+H51</f>
        <v>0.13999999999999999</v>
      </c>
      <c r="I54" s="107">
        <f>+I53</f>
        <v>11</v>
      </c>
      <c r="J54" s="100">
        <f t="shared" si="27"/>
        <v>156.68310539062506</v>
      </c>
      <c r="K54" s="100">
        <f t="shared" si="28"/>
        <v>81.376295174477178</v>
      </c>
      <c r="L54" s="118">
        <f t="shared" si="29"/>
        <v>8.3853459078648745E-2</v>
      </c>
      <c r="N54" s="36"/>
    </row>
    <row r="55" spans="3:14" x14ac:dyDescent="0.15">
      <c r="H55" s="109">
        <f t="shared" si="30"/>
        <v>0.15999999999999998</v>
      </c>
      <c r="I55" s="110">
        <f>+I54</f>
        <v>11</v>
      </c>
      <c r="J55" s="125">
        <f t="shared" si="27"/>
        <v>156.68310539062506</v>
      </c>
      <c r="K55" s="125">
        <f t="shared" si="28"/>
        <v>74.598865771991768</v>
      </c>
      <c r="L55" s="119">
        <f t="shared" si="29"/>
        <v>0.10752326163660451</v>
      </c>
      <c r="N55" s="36"/>
    </row>
    <row r="56" spans="3:14" x14ac:dyDescent="0.15">
      <c r="H56" s="104">
        <f>+H53</f>
        <v>0.12</v>
      </c>
      <c r="I56" s="105">
        <f>+I53+Control!I16</f>
        <v>12</v>
      </c>
      <c r="J56" s="124">
        <f t="shared" si="27"/>
        <v>170.92702406250004</v>
      </c>
      <c r="K56" s="124">
        <f t="shared" si="28"/>
        <v>96.98858382112175</v>
      </c>
      <c r="L56" s="120">
        <f t="shared" si="29"/>
        <v>6.6668641066259041E-2</v>
      </c>
      <c r="N56" s="36"/>
    </row>
    <row r="57" spans="3:14" x14ac:dyDescent="0.15">
      <c r="H57" s="106">
        <f t="shared" si="30"/>
        <v>0.13999999999999999</v>
      </c>
      <c r="I57" s="107">
        <f>+I56</f>
        <v>12</v>
      </c>
      <c r="J57" s="100">
        <f t="shared" si="27"/>
        <v>170.92702406250004</v>
      </c>
      <c r="K57" s="100">
        <f t="shared" si="28"/>
        <v>88.774140190338713</v>
      </c>
      <c r="L57" s="118">
        <f t="shared" si="29"/>
        <v>8.9785640622782811E-2</v>
      </c>
      <c r="N57" s="36"/>
    </row>
    <row r="58" spans="3:14" x14ac:dyDescent="0.15">
      <c r="H58" s="109">
        <f t="shared" si="30"/>
        <v>0.15999999999999998</v>
      </c>
      <c r="I58" s="110">
        <f>+I57</f>
        <v>12</v>
      </c>
      <c r="J58" s="125">
        <f t="shared" si="27"/>
        <v>170.92702406250004</v>
      </c>
      <c r="K58" s="125">
        <f t="shared" si="28"/>
        <v>81.380580842172819</v>
      </c>
      <c r="L58" s="119">
        <f t="shared" si="29"/>
        <v>0.11363472185439989</v>
      </c>
      <c r="N58" s="36"/>
    </row>
    <row r="59" spans="3:14" x14ac:dyDescent="0.15">
      <c r="N59" s="36"/>
    </row>
    <row r="60" spans="3:14" x14ac:dyDescent="0.15">
      <c r="H60" s="103" t="s">
        <v>111</v>
      </c>
      <c r="I60" s="103"/>
      <c r="J60" s="103"/>
      <c r="K60" s="103"/>
      <c r="L60" s="103"/>
      <c r="N60" s="36"/>
    </row>
    <row r="61" spans="3:14" x14ac:dyDescent="0.15">
      <c r="H61" s="111"/>
      <c r="I61" s="112"/>
      <c r="J61" s="112" t="s">
        <v>105</v>
      </c>
      <c r="K61" s="112" t="s">
        <v>107</v>
      </c>
      <c r="L61" s="115" t="s">
        <v>109</v>
      </c>
      <c r="N61" s="36"/>
    </row>
    <row r="62" spans="3:14" x14ac:dyDescent="0.15">
      <c r="H62" s="113" t="s">
        <v>69</v>
      </c>
      <c r="I62" s="114" t="s">
        <v>112</v>
      </c>
      <c r="J62" s="114" t="s">
        <v>106</v>
      </c>
      <c r="K62" s="114" t="s">
        <v>108</v>
      </c>
      <c r="L62" s="116" t="s">
        <v>110</v>
      </c>
      <c r="N62" s="36"/>
    </row>
    <row r="63" spans="3:14" x14ac:dyDescent="0.15">
      <c r="H63" s="104">
        <f>+H50</f>
        <v>0.12</v>
      </c>
      <c r="I63" s="121">
        <f>+Control!M15</f>
        <v>0.02</v>
      </c>
      <c r="J63" s="124">
        <f>+($C$54*(1+I63))/(H63-I63)</f>
        <v>104.60733872625005</v>
      </c>
      <c r="K63" s="124">
        <f>+(J63)/(1+H63)^$C$52</f>
        <v>62.817558302181951</v>
      </c>
      <c r="L63" s="126">
        <f>+(J63*(1+$H63)^0.5/$C$48)</f>
        <v>7.7721590513833432</v>
      </c>
      <c r="N63" s="36"/>
    </row>
    <row r="64" spans="3:14" x14ac:dyDescent="0.15">
      <c r="H64" s="106">
        <f t="shared" ref="H64:H71" si="31">+H51</f>
        <v>0.13999999999999999</v>
      </c>
      <c r="I64" s="122">
        <f>+I63</f>
        <v>0.02</v>
      </c>
      <c r="J64" s="100">
        <f t="shared" ref="J64:J71" si="32">+($C$54*(1+I64))/(H64-I64)</f>
        <v>87.17278227187505</v>
      </c>
      <c r="K64" s="100">
        <f t="shared" ref="K64:K71" si="33">+(J64)/(1+H64)^$C$52</f>
        <v>48.340270520021278</v>
      </c>
      <c r="L64" s="127">
        <f t="shared" ref="L64:L71" si="34">+(J64*(1+$H64)^0.5/$C$48)</f>
        <v>6.5343718902431638</v>
      </c>
      <c r="N64" s="36"/>
    </row>
    <row r="65" spans="8:28" x14ac:dyDescent="0.15">
      <c r="H65" s="109">
        <f t="shared" si="31"/>
        <v>0.15999999999999998</v>
      </c>
      <c r="I65" s="123">
        <f>+I64</f>
        <v>0.02</v>
      </c>
      <c r="J65" s="125">
        <f t="shared" si="32"/>
        <v>74.719527661607188</v>
      </c>
      <c r="K65" s="125">
        <f t="shared" si="33"/>
        <v>38.315382577212212</v>
      </c>
      <c r="L65" s="128">
        <f t="shared" si="34"/>
        <v>5.6498071919422586</v>
      </c>
      <c r="N65" s="36"/>
    </row>
    <row r="66" spans="8:28" x14ac:dyDescent="0.15">
      <c r="H66" s="104">
        <f t="shared" si="31"/>
        <v>0.12</v>
      </c>
      <c r="I66" s="121">
        <f>+I63+Control!M16</f>
        <v>2.5000000000000001E-2</v>
      </c>
      <c r="J66" s="124">
        <f t="shared" si="32"/>
        <v>110.65275768256581</v>
      </c>
      <c r="K66" s="124">
        <f t="shared" si="33"/>
        <v>66.44788158899533</v>
      </c>
      <c r="L66" s="129">
        <f t="shared" si="34"/>
        <v>8.2213240739607052</v>
      </c>
      <c r="N66" s="36"/>
    </row>
    <row r="67" spans="8:28" x14ac:dyDescent="0.15">
      <c r="H67" s="106">
        <f t="shared" si="31"/>
        <v>0.13999999999999999</v>
      </c>
      <c r="I67" s="122">
        <f>+I66</f>
        <v>2.5000000000000001E-2</v>
      </c>
      <c r="J67" s="100">
        <f t="shared" si="32"/>
        <v>91.408799824728291</v>
      </c>
      <c r="K67" s="100">
        <f t="shared" si="33"/>
        <v>50.689286223040206</v>
      </c>
      <c r="L67" s="127">
        <f t="shared" si="34"/>
        <v>6.851898913042703</v>
      </c>
      <c r="N67" s="36"/>
    </row>
    <row r="68" spans="8:28" x14ac:dyDescent="0.15">
      <c r="H68" s="109">
        <f t="shared" si="31"/>
        <v>0.15999999999999998</v>
      </c>
      <c r="I68" s="123">
        <f>+I67</f>
        <v>2.5000000000000001E-2</v>
      </c>
      <c r="J68" s="125">
        <f t="shared" si="32"/>
        <v>77.866755406250022</v>
      </c>
      <c r="K68" s="125">
        <f t="shared" si="33"/>
        <v>39.929247638561726</v>
      </c>
      <c r="L68" s="128">
        <f t="shared" si="34"/>
        <v>5.887780189133724</v>
      </c>
      <c r="N68" s="36"/>
    </row>
    <row r="69" spans="8:28" x14ac:dyDescent="0.15">
      <c r="H69" s="104">
        <f t="shared" si="31"/>
        <v>0.12</v>
      </c>
      <c r="I69" s="121">
        <f>+I66+Control!M16</f>
        <v>3.0000000000000002E-2</v>
      </c>
      <c r="J69" s="124">
        <f t="shared" si="32"/>
        <v>117.36988985625004</v>
      </c>
      <c r="K69" s="124">
        <f t="shared" si="33"/>
        <v>70.48157412989913</v>
      </c>
      <c r="L69" s="129">
        <f t="shared" si="34"/>
        <v>8.7203963212688915</v>
      </c>
      <c r="N69" s="36"/>
    </row>
    <row r="70" spans="8:28" x14ac:dyDescent="0.15">
      <c r="H70" s="106">
        <f t="shared" si="31"/>
        <v>0.13999999999999999</v>
      </c>
      <c r="I70" s="122">
        <f>+I69</f>
        <v>3.0000000000000002E-2</v>
      </c>
      <c r="J70" s="100">
        <f t="shared" si="32"/>
        <v>96.029909882386406</v>
      </c>
      <c r="K70" s="100">
        <f t="shared" si="33"/>
        <v>53.251848808151777</v>
      </c>
      <c r="L70" s="127">
        <f t="shared" si="34"/>
        <v>7.19829202882402</v>
      </c>
      <c r="N70" s="36"/>
    </row>
    <row r="71" spans="8:28" x14ac:dyDescent="0.15">
      <c r="H71" s="109">
        <f t="shared" si="31"/>
        <v>0.15999999999999998</v>
      </c>
      <c r="I71" s="123">
        <f>+I70</f>
        <v>3.0000000000000002E-2</v>
      </c>
      <c r="J71" s="125">
        <f t="shared" si="32"/>
        <v>81.2560775927885</v>
      </c>
      <c r="K71" s="125">
        <f t="shared" si="33"/>
        <v>41.667256166168926</v>
      </c>
      <c r="L71" s="128">
        <f t="shared" si="34"/>
        <v>6.1440588014937676</v>
      </c>
      <c r="N71" s="36"/>
    </row>
    <row r="75" spans="8:28" ht="15" thickBot="1" x14ac:dyDescent="0.2">
      <c r="R75" s="130" t="s">
        <v>97</v>
      </c>
      <c r="S75" s="130"/>
      <c r="T75" s="130"/>
      <c r="U75" s="130"/>
      <c r="V75" s="130"/>
      <c r="W75" s="130"/>
      <c r="X75" s="130"/>
      <c r="Y75" s="130"/>
      <c r="Z75" s="130"/>
      <c r="AA75" s="130"/>
      <c r="AB75" s="130"/>
    </row>
    <row r="76" spans="8:28" x14ac:dyDescent="0.15">
      <c r="R76" t="str">
        <f>+C5</f>
        <v>$ MM, unless otherwise stated</v>
      </c>
    </row>
    <row r="78" spans="8:28" x14ac:dyDescent="0.15">
      <c r="R78" s="68" t="s">
        <v>113</v>
      </c>
      <c r="S78" s="54"/>
      <c r="T78" s="54"/>
      <c r="U78" s="54"/>
      <c r="V78" s="54"/>
      <c r="W78" s="54"/>
      <c r="X78" s="54"/>
      <c r="Y78" s="54"/>
      <c r="Z78" s="54"/>
      <c r="AA78" s="54"/>
      <c r="AB78" s="54"/>
    </row>
    <row r="80" spans="8:28" x14ac:dyDescent="0.15">
      <c r="R80" s="131" t="s">
        <v>114</v>
      </c>
      <c r="S80" s="148"/>
      <c r="T80" s="132">
        <f>+I50</f>
        <v>10</v>
      </c>
      <c r="U80" s="133"/>
      <c r="V80" s="137"/>
      <c r="W80" s="132">
        <f>+I53</f>
        <v>11</v>
      </c>
      <c r="X80" s="133"/>
      <c r="Y80" s="137"/>
      <c r="Z80" s="132">
        <f>+I56</f>
        <v>12</v>
      </c>
      <c r="AA80" s="133"/>
      <c r="AB80" s="137"/>
    </row>
    <row r="81" spans="18:28" x14ac:dyDescent="0.15">
      <c r="R81" s="134" t="s">
        <v>115</v>
      </c>
      <c r="S81" s="149"/>
      <c r="T81" s="135">
        <f>+Control!E15</f>
        <v>0.12</v>
      </c>
      <c r="U81" s="135">
        <f>+T81+Control!E16</f>
        <v>0.13999999999999999</v>
      </c>
      <c r="V81" s="138">
        <f>+U81+Control!E16</f>
        <v>0.15999999999999998</v>
      </c>
      <c r="W81" s="136">
        <f>+T81</f>
        <v>0.12</v>
      </c>
      <c r="X81" s="136">
        <f t="shared" ref="X81:Y81" si="35">+U81</f>
        <v>0.13999999999999999</v>
      </c>
      <c r="Y81" s="140">
        <f t="shared" si="35"/>
        <v>0.15999999999999998</v>
      </c>
      <c r="Z81" s="136">
        <f>+W81</f>
        <v>0.12</v>
      </c>
      <c r="AA81" s="136">
        <f t="shared" ref="AA81" si="36">+X81</f>
        <v>0.13999999999999999</v>
      </c>
      <c r="AB81" s="140">
        <f t="shared" ref="AB81" si="37">+Y81</f>
        <v>0.15999999999999998</v>
      </c>
    </row>
    <row r="82" spans="18:28" x14ac:dyDescent="0.15">
      <c r="R82" s="141" t="s">
        <v>116</v>
      </c>
      <c r="S82" s="139"/>
      <c r="V82" s="139"/>
      <c r="Y82" s="139"/>
      <c r="AB82" s="139"/>
    </row>
    <row r="83" spans="18:28" x14ac:dyDescent="0.15">
      <c r="R83" s="33" t="s">
        <v>117</v>
      </c>
      <c r="S83" s="139"/>
      <c r="T83" s="100" cm="1">
        <f t="array" ref="T83:V83">+TRANSPOSE($N$43:$N$45)</f>
        <v>32.878632753636502</v>
      </c>
      <c r="U83" s="100">
        <v>31.226998233852981</v>
      </c>
      <c r="V83" s="142">
        <v>29.711289219957653</v>
      </c>
      <c r="W83" s="100" cm="1">
        <f t="array" ref="W83:Y83">+TRANSPOSE($N$43:$N$45)</f>
        <v>32.878632753636502</v>
      </c>
      <c r="X83" s="100">
        <v>31.226998233852981</v>
      </c>
      <c r="Y83" s="142">
        <v>29.711289219957653</v>
      </c>
      <c r="Z83" s="100" cm="1">
        <f t="array" ref="Z83:AB83">+TRANSPOSE($N$43:$N$45)</f>
        <v>32.878632753636502</v>
      </c>
      <c r="AA83" s="100">
        <v>31.226998233852981</v>
      </c>
      <c r="AB83" s="142">
        <v>29.711289219957653</v>
      </c>
    </row>
    <row r="84" spans="18:28" x14ac:dyDescent="0.15">
      <c r="R84" s="33" t="s">
        <v>118</v>
      </c>
      <c r="S84" s="139"/>
      <c r="T84" s="100" cm="1">
        <f t="array" ref="T84:AB84">+TRANSPOSE(K50:K58)</f>
        <v>80.823819850934797</v>
      </c>
      <c r="U84" s="100">
        <v>73.978450158615615</v>
      </c>
      <c r="V84" s="142">
        <v>67.817150701810689</v>
      </c>
      <c r="W84" s="100">
        <v>88.906201836028288</v>
      </c>
      <c r="X84" s="100">
        <v>81.376295174477178</v>
      </c>
      <c r="Y84" s="142">
        <v>74.598865771991768</v>
      </c>
      <c r="Z84" s="100">
        <v>96.98858382112175</v>
      </c>
      <c r="AA84" s="100">
        <v>88.774140190338713</v>
      </c>
      <c r="AB84" s="142">
        <v>81.380580842172819</v>
      </c>
    </row>
    <row r="85" spans="18:28" x14ac:dyDescent="0.15">
      <c r="R85" s="81" t="s">
        <v>119</v>
      </c>
      <c r="S85" s="80"/>
      <c r="T85" s="124">
        <f>SUM(T83:T84)</f>
        <v>113.70245260457131</v>
      </c>
      <c r="U85" s="124">
        <f t="shared" ref="U85:AB85" si="38">SUM(U83:U84)</f>
        <v>105.2054483924686</v>
      </c>
      <c r="V85" s="143">
        <f t="shared" si="38"/>
        <v>97.528439921768339</v>
      </c>
      <c r="W85" s="124">
        <f t="shared" si="38"/>
        <v>121.7848345896648</v>
      </c>
      <c r="X85" s="124">
        <f t="shared" si="38"/>
        <v>112.60329340833016</v>
      </c>
      <c r="Y85" s="143">
        <f t="shared" si="38"/>
        <v>104.31015499194942</v>
      </c>
      <c r="Z85" s="124">
        <f t="shared" si="38"/>
        <v>129.86721657475826</v>
      </c>
      <c r="AA85" s="124">
        <f t="shared" si="38"/>
        <v>120.00113842419169</v>
      </c>
      <c r="AB85" s="143">
        <f t="shared" si="38"/>
        <v>111.09187006213047</v>
      </c>
    </row>
    <row r="86" spans="18:28" x14ac:dyDescent="0.15">
      <c r="R86" s="33" t="s">
        <v>120</v>
      </c>
      <c r="S86" s="139"/>
      <c r="T86" s="144">
        <v>25</v>
      </c>
      <c r="U86" s="1">
        <f>+T86</f>
        <v>25</v>
      </c>
      <c r="V86" s="108">
        <f t="shared" ref="V86:AB86" si="39">+U86</f>
        <v>25</v>
      </c>
      <c r="W86" s="1">
        <f t="shared" si="39"/>
        <v>25</v>
      </c>
      <c r="X86" s="1">
        <f t="shared" si="39"/>
        <v>25</v>
      </c>
      <c r="Y86" s="108">
        <f t="shared" si="39"/>
        <v>25</v>
      </c>
      <c r="Z86" s="1">
        <f t="shared" si="39"/>
        <v>25</v>
      </c>
      <c r="AA86" s="1">
        <f t="shared" si="39"/>
        <v>25</v>
      </c>
      <c r="AB86" s="108">
        <f t="shared" si="39"/>
        <v>25</v>
      </c>
    </row>
    <row r="87" spans="18:28" x14ac:dyDescent="0.15">
      <c r="R87" s="81" t="s">
        <v>121</v>
      </c>
      <c r="S87" s="80"/>
      <c r="T87" s="124">
        <f>+T85-T86</f>
        <v>88.702452604571306</v>
      </c>
      <c r="U87" s="124">
        <f t="shared" ref="U87:AB87" si="40">+U85-U86</f>
        <v>80.205448392468597</v>
      </c>
      <c r="V87" s="143">
        <f t="shared" si="40"/>
        <v>72.528439921768339</v>
      </c>
      <c r="W87" s="124">
        <f t="shared" si="40"/>
        <v>96.784834589664797</v>
      </c>
      <c r="X87" s="124">
        <f t="shared" si="40"/>
        <v>87.60329340833016</v>
      </c>
      <c r="Y87" s="143">
        <f t="shared" si="40"/>
        <v>79.310154991949418</v>
      </c>
      <c r="Z87" s="124">
        <f t="shared" si="40"/>
        <v>104.86721657475826</v>
      </c>
      <c r="AA87" s="124">
        <f t="shared" si="40"/>
        <v>95.001138424191694</v>
      </c>
      <c r="AB87" s="143">
        <f t="shared" si="40"/>
        <v>86.091870062130468</v>
      </c>
    </row>
    <row r="88" spans="18:28" x14ac:dyDescent="0.15">
      <c r="S88" s="139"/>
      <c r="V88" s="139"/>
      <c r="Y88" s="139"/>
      <c r="AB88" s="139"/>
    </row>
    <row r="89" spans="18:28" x14ac:dyDescent="0.15">
      <c r="R89" s="30" t="str">
        <f>+"AV / "&amp;H6&amp;"E Revenue"</f>
        <v>AV / 2021E Revenue</v>
      </c>
      <c r="S89" s="145"/>
      <c r="T89" s="146">
        <f>+T$85/$H$10</f>
        <v>2.8821914475176502</v>
      </c>
      <c r="U89" s="146">
        <f t="shared" ref="U89:AB89" si="41">+U$85/$H$10</f>
        <v>2.666804775474489</v>
      </c>
      <c r="V89" s="147">
        <f t="shared" si="41"/>
        <v>2.4722038002983102</v>
      </c>
      <c r="W89" s="146">
        <f>+W$85/$H$10</f>
        <v>3.0870680504351022</v>
      </c>
      <c r="X89" s="146">
        <f t="shared" si="41"/>
        <v>2.8543293639627416</v>
      </c>
      <c r="Y89" s="147">
        <f t="shared" si="41"/>
        <v>2.6441103926983374</v>
      </c>
      <c r="Z89" s="146">
        <f>+Z$85/$H$10</f>
        <v>3.2919446533525538</v>
      </c>
      <c r="AA89" s="146">
        <f t="shared" si="41"/>
        <v>3.0418539524509933</v>
      </c>
      <c r="AB89" s="147">
        <f t="shared" si="41"/>
        <v>2.8160169850983641</v>
      </c>
    </row>
    <row r="90" spans="18:28" x14ac:dyDescent="0.15">
      <c r="R90" s="30" t="str">
        <f>+"AV / "&amp;I6&amp;"E Revenue"</f>
        <v>AV / 2022E Revenue</v>
      </c>
      <c r="S90" s="145"/>
      <c r="T90" s="146">
        <f>+T$85/$I$10</f>
        <v>2.6297184759658006</v>
      </c>
      <c r="U90" s="146">
        <f t="shared" ref="U90:AB90" si="42">+U$85/$I$10</f>
        <v>2.4331991533383888</v>
      </c>
      <c r="V90" s="147">
        <f t="shared" si="42"/>
        <v>2.255644751009386</v>
      </c>
      <c r="W90" s="146">
        <f>+W$85/$I$10</f>
        <v>2.8166483859997635</v>
      </c>
      <c r="X90" s="146">
        <f t="shared" si="42"/>
        <v>2.6042970432686938</v>
      </c>
      <c r="Y90" s="147">
        <f t="shared" si="42"/>
        <v>2.4124927433813106</v>
      </c>
      <c r="Z90" s="146">
        <f>+Z$85/$I$10</f>
        <v>3.0035782960337265</v>
      </c>
      <c r="AA90" s="146">
        <f t="shared" si="42"/>
        <v>2.775394933198998</v>
      </c>
      <c r="AB90" s="147">
        <f t="shared" si="42"/>
        <v>2.5693407357532339</v>
      </c>
    </row>
    <row r="91" spans="18:28" x14ac:dyDescent="0.15">
      <c r="S91" s="139"/>
      <c r="V91" s="139"/>
      <c r="Y91" s="139"/>
      <c r="AB91" s="139"/>
    </row>
    <row r="92" spans="18:28" x14ac:dyDescent="0.15">
      <c r="R92" s="30" t="str">
        <f>+"AV / "&amp;H6&amp;"E EBITDA"</f>
        <v>AV / 2021E EBITDA</v>
      </c>
      <c r="S92" s="139"/>
      <c r="T92" s="146">
        <f>+T$85/$H$13</f>
        <v>11.528765790070601</v>
      </c>
      <c r="U92" s="146">
        <f t="shared" ref="U92:AB92" si="43">+U$85/$H$13</f>
        <v>10.667219101897956</v>
      </c>
      <c r="V92" s="147">
        <f t="shared" si="43"/>
        <v>9.8888152011932409</v>
      </c>
      <c r="W92" s="146">
        <f t="shared" si="43"/>
        <v>12.348272201740409</v>
      </c>
      <c r="X92" s="146">
        <f t="shared" si="43"/>
        <v>11.417317455850966</v>
      </c>
      <c r="Y92" s="147">
        <f t="shared" si="43"/>
        <v>10.576441570793349</v>
      </c>
      <c r="Z92" s="146">
        <f t="shared" si="43"/>
        <v>13.167778613410215</v>
      </c>
      <c r="AA92" s="146">
        <f t="shared" si="43"/>
        <v>12.167415809803973</v>
      </c>
      <c r="AB92" s="147">
        <f t="shared" si="43"/>
        <v>11.264067940393456</v>
      </c>
    </row>
    <row r="93" spans="18:28" x14ac:dyDescent="0.15">
      <c r="R93" s="30" t="str">
        <f>+"AV / "&amp;I6&amp;"E EBITDA"</f>
        <v>AV / 2022E EBITDA</v>
      </c>
      <c r="S93" s="139"/>
      <c r="T93" s="146">
        <f>+T$85/$I$13</f>
        <v>10.518873903863202</v>
      </c>
      <c r="U93" s="146">
        <f t="shared" ref="U93:AB93" si="44">+U$85/$I$13</f>
        <v>9.7327966133535551</v>
      </c>
      <c r="V93" s="147">
        <f t="shared" si="44"/>
        <v>9.022579004037544</v>
      </c>
      <c r="W93" s="146">
        <f t="shared" si="44"/>
        <v>11.266593543999054</v>
      </c>
      <c r="X93" s="146">
        <f t="shared" si="44"/>
        <v>10.417188173074775</v>
      </c>
      <c r="Y93" s="147">
        <f t="shared" si="44"/>
        <v>9.6499709735252424</v>
      </c>
      <c r="Z93" s="146">
        <f t="shared" si="44"/>
        <v>12.014313184134906</v>
      </c>
      <c r="AA93" s="146">
        <f t="shared" si="44"/>
        <v>11.101579732795992</v>
      </c>
      <c r="AB93" s="147">
        <f t="shared" si="44"/>
        <v>10.277362943012935</v>
      </c>
    </row>
    <row r="94" spans="18:28" x14ac:dyDescent="0.15">
      <c r="S94" s="139"/>
      <c r="V94" s="139"/>
      <c r="Y94" s="139"/>
      <c r="AB94" s="139"/>
    </row>
    <row r="95" spans="18:28" x14ac:dyDescent="0.15">
      <c r="R95" s="5" t="s">
        <v>122</v>
      </c>
      <c r="S95" s="139"/>
      <c r="V95" s="139"/>
      <c r="Y95" s="139"/>
      <c r="AB95" s="139"/>
    </row>
    <row r="96" spans="18:28" x14ac:dyDescent="0.15">
      <c r="R96" s="26" t="s">
        <v>123</v>
      </c>
      <c r="S96" s="145"/>
      <c r="T96" s="150">
        <f>+T83/T$85</f>
        <v>0.28916379550738597</v>
      </c>
      <c r="U96" s="150">
        <f t="shared" ref="U96:AB96" si="45">+U83/U$85</f>
        <v>0.2968192114666986</v>
      </c>
      <c r="V96" s="151">
        <f t="shared" si="45"/>
        <v>0.30464230991278368</v>
      </c>
      <c r="W96" s="150">
        <f t="shared" si="45"/>
        <v>0.26997312813550212</v>
      </c>
      <c r="X96" s="150">
        <f t="shared" si="45"/>
        <v>0.27731869369588857</v>
      </c>
      <c r="Y96" s="151">
        <f t="shared" si="45"/>
        <v>0.28483601833638106</v>
      </c>
      <c r="Z96" s="150">
        <f t="shared" si="45"/>
        <v>0.25317115143304753</v>
      </c>
      <c r="AA96" s="150">
        <f t="shared" si="45"/>
        <v>0.26022251658537399</v>
      </c>
      <c r="AB96" s="151">
        <f t="shared" si="45"/>
        <v>0.2674479167858187</v>
      </c>
    </row>
    <row r="97" spans="18:28" x14ac:dyDescent="0.15">
      <c r="R97" s="26" t="s">
        <v>124</v>
      </c>
      <c r="S97" s="145"/>
      <c r="T97" s="150">
        <f t="shared" ref="T97:AB97" si="46">+T84/T$85</f>
        <v>0.71083620449261398</v>
      </c>
      <c r="U97" s="150">
        <f t="shared" si="46"/>
        <v>0.70318078853330146</v>
      </c>
      <c r="V97" s="151">
        <f t="shared" si="46"/>
        <v>0.69535769008721637</v>
      </c>
      <c r="W97" s="150">
        <f t="shared" si="46"/>
        <v>0.73002687186449788</v>
      </c>
      <c r="X97" s="150">
        <f t="shared" si="46"/>
        <v>0.72268130630411143</v>
      </c>
      <c r="Y97" s="151">
        <f t="shared" si="46"/>
        <v>0.71516398166361894</v>
      </c>
      <c r="Z97" s="150">
        <f t="shared" si="46"/>
        <v>0.74682884856695242</v>
      </c>
      <c r="AA97" s="150">
        <f t="shared" si="46"/>
        <v>0.73977748341462601</v>
      </c>
      <c r="AB97" s="151">
        <f t="shared" si="46"/>
        <v>0.7325520832141813</v>
      </c>
    </row>
    <row r="98" spans="18:28" x14ac:dyDescent="0.15">
      <c r="S98" s="139"/>
      <c r="V98" s="139"/>
      <c r="Y98" s="139"/>
      <c r="AB98" s="139"/>
    </row>
    <row r="99" spans="18:28" x14ac:dyDescent="0.15">
      <c r="R99" s="5" t="s">
        <v>125</v>
      </c>
      <c r="S99" s="139"/>
      <c r="V99" s="139"/>
      <c r="Y99" s="139"/>
      <c r="AB99" s="139"/>
    </row>
    <row r="100" spans="18:28" x14ac:dyDescent="0.15">
      <c r="R100" s="153" t="s">
        <v>126</v>
      </c>
      <c r="S100" s="154"/>
      <c r="T100" s="155" cm="1">
        <f t="array" ref="T100:V100">+TRANSPOSE(L50:L52)</f>
        <v>5.4081481132549923E-2</v>
      </c>
      <c r="U100" s="155">
        <v>7.6819537454064876E-2</v>
      </c>
      <c r="V100" s="156">
        <v>0.10027747247118023</v>
      </c>
      <c r="W100" s="155" cm="1">
        <f t="array" ref="W100:Y100">+TRANSPOSE(L53:L55)</f>
        <v>6.0910139539014994E-2</v>
      </c>
      <c r="X100" s="155">
        <v>8.3853459078648745E-2</v>
      </c>
      <c r="Y100" s="156">
        <v>0.10752326163660451</v>
      </c>
      <c r="Z100" s="155" cm="1">
        <f t="array" ref="Z100:AB100">+TRANSPOSE(L56:L58)</f>
        <v>6.6668641066259041E-2</v>
      </c>
      <c r="AA100" s="155">
        <v>8.9785640622782811E-2</v>
      </c>
      <c r="AB100" s="156">
        <v>0.11363472185439989</v>
      </c>
    </row>
    <row r="102" spans="18:28" x14ac:dyDescent="0.15">
      <c r="R102" s="68" t="s">
        <v>127</v>
      </c>
      <c r="S102" s="54"/>
      <c r="T102" s="54"/>
      <c r="U102" s="54"/>
      <c r="V102" s="54"/>
      <c r="W102" s="54"/>
      <c r="X102" s="54"/>
      <c r="Y102" s="54"/>
      <c r="Z102" s="54"/>
      <c r="AA102" s="54"/>
      <c r="AB102" s="54"/>
    </row>
    <row r="104" spans="18:28" x14ac:dyDescent="0.15">
      <c r="R104" s="157" t="s">
        <v>128</v>
      </c>
      <c r="S104" s="158"/>
      <c r="T104" s="159">
        <f>+I63</f>
        <v>0.02</v>
      </c>
      <c r="U104" s="160"/>
      <c r="V104" s="161"/>
      <c r="W104" s="159">
        <f>+I66</f>
        <v>2.5000000000000001E-2</v>
      </c>
      <c r="X104" s="160"/>
      <c r="Y104" s="161"/>
      <c r="Z104" s="159">
        <f>+I69</f>
        <v>3.0000000000000002E-2</v>
      </c>
      <c r="AA104" s="160"/>
      <c r="AB104" s="161"/>
    </row>
    <row r="105" spans="18:28" x14ac:dyDescent="0.15">
      <c r="R105" s="134" t="s">
        <v>115</v>
      </c>
      <c r="S105" s="149"/>
      <c r="T105" s="135">
        <f>+T81</f>
        <v>0.12</v>
      </c>
      <c r="U105" s="135">
        <f>+T105+Control!E16</f>
        <v>0.13999999999999999</v>
      </c>
      <c r="V105" s="138">
        <f>+U105+Control!E16</f>
        <v>0.15999999999999998</v>
      </c>
      <c r="W105" s="136">
        <f>+T105</f>
        <v>0.12</v>
      </c>
      <c r="X105" s="136">
        <f t="shared" ref="X105" si="47">+U105</f>
        <v>0.13999999999999999</v>
      </c>
      <c r="Y105" s="140">
        <f t="shared" ref="Y105" si="48">+V105</f>
        <v>0.15999999999999998</v>
      </c>
      <c r="Z105" s="136">
        <f>+W105</f>
        <v>0.12</v>
      </c>
      <c r="AA105" s="136">
        <f t="shared" ref="AA105" si="49">+X105</f>
        <v>0.13999999999999999</v>
      </c>
      <c r="AB105" s="140">
        <f t="shared" ref="AB105" si="50">+Y105</f>
        <v>0.15999999999999998</v>
      </c>
    </row>
    <row r="106" spans="18:28" x14ac:dyDescent="0.15">
      <c r="R106" s="141" t="s">
        <v>116</v>
      </c>
      <c r="S106" s="139"/>
      <c r="V106" s="139"/>
      <c r="Y106" s="139"/>
      <c r="AB106" s="139"/>
    </row>
    <row r="107" spans="18:28" x14ac:dyDescent="0.15">
      <c r="R107" s="33" t="s">
        <v>117</v>
      </c>
      <c r="S107" s="139"/>
      <c r="T107" s="100" cm="1">
        <f t="array" ref="T107:V107">+TRANSPOSE(N43:N45)</f>
        <v>32.878632753636502</v>
      </c>
      <c r="U107" s="100">
        <v>31.226998233852981</v>
      </c>
      <c r="V107" s="142">
        <v>29.711289219957653</v>
      </c>
      <c r="W107" s="100" cm="1">
        <f t="array" ref="W107:Y107">+TRANSPOSE($N$43:$N$45)</f>
        <v>32.878632753636502</v>
      </c>
      <c r="X107" s="100">
        <v>31.226998233852981</v>
      </c>
      <c r="Y107" s="142">
        <v>29.711289219957653</v>
      </c>
      <c r="Z107" s="100" cm="1">
        <f t="array" ref="Z107:AB107">+TRANSPOSE($N$43:$N$45)</f>
        <v>32.878632753636502</v>
      </c>
      <c r="AA107" s="100">
        <v>31.226998233852981</v>
      </c>
      <c r="AB107" s="142">
        <v>29.711289219957653</v>
      </c>
    </row>
    <row r="108" spans="18:28" x14ac:dyDescent="0.15">
      <c r="R108" s="33" t="s">
        <v>118</v>
      </c>
      <c r="S108" s="139"/>
      <c r="T108" s="100" cm="1">
        <f t="array" ref="T108:V108">+TRANSPOSE(K63:K65)</f>
        <v>62.817558302181951</v>
      </c>
      <c r="U108" s="100">
        <v>48.340270520021278</v>
      </c>
      <c r="V108" s="142">
        <v>38.315382577212212</v>
      </c>
      <c r="W108" s="100" cm="1">
        <f t="array" ref="W108:Y108">+TRANSPOSE(K66:K68)</f>
        <v>66.44788158899533</v>
      </c>
      <c r="X108" s="100">
        <v>50.689286223040206</v>
      </c>
      <c r="Y108" s="142">
        <v>39.929247638561726</v>
      </c>
      <c r="Z108" s="100" cm="1">
        <f t="array" ref="Z108:AB108">+TRANSPOSE(K69:K71)</f>
        <v>70.48157412989913</v>
      </c>
      <c r="AA108" s="100">
        <v>53.251848808151777</v>
      </c>
      <c r="AB108" s="142">
        <v>41.667256166168926</v>
      </c>
    </row>
    <row r="109" spans="18:28" x14ac:dyDescent="0.15">
      <c r="R109" s="81" t="s">
        <v>119</v>
      </c>
      <c r="S109" s="80"/>
      <c r="T109" s="124">
        <f>SUM(T107:T108)</f>
        <v>95.696191055818446</v>
      </c>
      <c r="U109" s="124">
        <f t="shared" ref="U109" si="51">SUM(U107:U108)</f>
        <v>79.567268753874259</v>
      </c>
      <c r="V109" s="143">
        <f t="shared" ref="V109" si="52">SUM(V107:V108)</f>
        <v>68.026671797169868</v>
      </c>
      <c r="W109" s="124">
        <f t="shared" ref="W109" si="53">SUM(W107:W108)</f>
        <v>99.326514342631839</v>
      </c>
      <c r="X109" s="124">
        <f t="shared" ref="X109" si="54">SUM(X107:X108)</f>
        <v>81.91628445689318</v>
      </c>
      <c r="Y109" s="143">
        <f t="shared" ref="Y109" si="55">SUM(Y107:Y108)</f>
        <v>69.640536858519383</v>
      </c>
      <c r="Z109" s="124">
        <f t="shared" ref="Z109" si="56">SUM(Z107:Z108)</f>
        <v>103.36020688353562</v>
      </c>
      <c r="AA109" s="124">
        <f t="shared" ref="AA109" si="57">SUM(AA107:AA108)</f>
        <v>84.478847042004759</v>
      </c>
      <c r="AB109" s="143">
        <f t="shared" ref="AB109" si="58">SUM(AB107:AB108)</f>
        <v>71.378545386126575</v>
      </c>
    </row>
    <row r="110" spans="18:28" x14ac:dyDescent="0.15">
      <c r="R110" s="33" t="s">
        <v>120</v>
      </c>
      <c r="S110" s="139"/>
      <c r="T110" s="144">
        <f>+T86</f>
        <v>25</v>
      </c>
      <c r="U110" s="1">
        <f>+T110</f>
        <v>25</v>
      </c>
      <c r="V110" s="108">
        <f t="shared" ref="V110:AB110" si="59">+U110</f>
        <v>25</v>
      </c>
      <c r="W110" s="1">
        <f t="shared" si="59"/>
        <v>25</v>
      </c>
      <c r="X110" s="1">
        <f t="shared" si="59"/>
        <v>25</v>
      </c>
      <c r="Y110" s="108">
        <f t="shared" si="59"/>
        <v>25</v>
      </c>
      <c r="Z110" s="1">
        <f t="shared" si="59"/>
        <v>25</v>
      </c>
      <c r="AA110" s="1">
        <f t="shared" si="59"/>
        <v>25</v>
      </c>
      <c r="AB110" s="108">
        <f t="shared" si="59"/>
        <v>25</v>
      </c>
    </row>
    <row r="111" spans="18:28" x14ac:dyDescent="0.15">
      <c r="R111" s="81" t="s">
        <v>121</v>
      </c>
      <c r="S111" s="80"/>
      <c r="T111" s="124">
        <f>+T109-T110</f>
        <v>70.696191055818446</v>
      </c>
      <c r="U111" s="124">
        <f t="shared" ref="U111" si="60">+U109-U110</f>
        <v>54.567268753874259</v>
      </c>
      <c r="V111" s="143">
        <f t="shared" ref="V111" si="61">+V109-V110</f>
        <v>43.026671797169868</v>
      </c>
      <c r="W111" s="124">
        <f t="shared" ref="W111" si="62">+W109-W110</f>
        <v>74.326514342631839</v>
      </c>
      <c r="X111" s="124">
        <f t="shared" ref="X111" si="63">+X109-X110</f>
        <v>56.91628445689318</v>
      </c>
      <c r="Y111" s="143">
        <f t="shared" ref="Y111" si="64">+Y109-Y110</f>
        <v>44.640536858519383</v>
      </c>
      <c r="Z111" s="124">
        <f t="shared" ref="Z111" si="65">+Z109-Z110</f>
        <v>78.360206883535625</v>
      </c>
      <c r="AA111" s="124">
        <f t="shared" ref="AA111" si="66">+AA109-AA110</f>
        <v>59.478847042004759</v>
      </c>
      <c r="AB111" s="143">
        <f t="shared" ref="AB111" si="67">+AB109-AB110</f>
        <v>46.378545386126575</v>
      </c>
    </row>
    <row r="112" spans="18:28" x14ac:dyDescent="0.15">
      <c r="S112" s="139"/>
      <c r="V112" s="139"/>
      <c r="Y112" s="139"/>
      <c r="AB112" s="139"/>
    </row>
    <row r="113" spans="18:28" x14ac:dyDescent="0.15">
      <c r="R113" s="30" t="str">
        <f>+"AV / "&amp;H6&amp;"E Revenue"</f>
        <v>AV / 2021E Revenue</v>
      </c>
      <c r="S113" s="145"/>
      <c r="T113" s="146">
        <f>+T$109/$H$10</f>
        <v>2.4257589621246751</v>
      </c>
      <c r="U113" s="146">
        <f t="shared" ref="U113:AB113" si="68">+U$109/$H$10</f>
        <v>2.016914290339018</v>
      </c>
      <c r="V113" s="147">
        <f t="shared" si="68"/>
        <v>1.7243769783819991</v>
      </c>
      <c r="W113" s="146">
        <f t="shared" si="68"/>
        <v>2.5177823660996661</v>
      </c>
      <c r="X113" s="146">
        <f t="shared" si="68"/>
        <v>2.0764584146234011</v>
      </c>
      <c r="Y113" s="147">
        <f t="shared" si="68"/>
        <v>1.7652861054124049</v>
      </c>
      <c r="Z113" s="146">
        <f t="shared" si="68"/>
        <v>2.6200305927385452</v>
      </c>
      <c r="AA113" s="146">
        <f t="shared" si="68"/>
        <v>2.1414156411154561</v>
      </c>
      <c r="AB113" s="147">
        <f t="shared" si="68"/>
        <v>1.8093420883682274</v>
      </c>
    </row>
    <row r="114" spans="18:28" x14ac:dyDescent="0.15">
      <c r="R114" s="30" t="str">
        <f>+"AV / "&amp;I6&amp;"E Revenue"</f>
        <v>AV / 2022E Revenue</v>
      </c>
      <c r="S114" s="145"/>
      <c r="T114" s="146">
        <f>+T$109/$I$10</f>
        <v>2.2132683678709091</v>
      </c>
      <c r="U114" s="146">
        <f t="shared" ref="U114:AB114" si="69">+U$109/$I$10</f>
        <v>1.8402374964758428</v>
      </c>
      <c r="V114" s="147">
        <f t="shared" si="69"/>
        <v>1.5733257426347467</v>
      </c>
      <c r="W114" s="146">
        <f t="shared" si="69"/>
        <v>2.2972307451316989</v>
      </c>
      <c r="X114" s="146">
        <f t="shared" si="69"/>
        <v>1.8945657000726954</v>
      </c>
      <c r="Y114" s="147">
        <f t="shared" si="69"/>
        <v>1.6106513294829574</v>
      </c>
      <c r="Z114" s="146">
        <f t="shared" si="69"/>
        <v>2.3905222754214654</v>
      </c>
      <c r="AA114" s="146">
        <f t="shared" si="69"/>
        <v>1.9538328312692628</v>
      </c>
      <c r="AB114" s="147">
        <f t="shared" si="69"/>
        <v>1.6508481153194927</v>
      </c>
    </row>
    <row r="115" spans="18:28" x14ac:dyDescent="0.15">
      <c r="S115" s="139"/>
      <c r="V115" s="139"/>
      <c r="Y115" s="139"/>
      <c r="AB115" s="139"/>
    </row>
    <row r="116" spans="18:28" x14ac:dyDescent="0.15">
      <c r="R116" s="30" t="str">
        <f>+"AV / "&amp;H6&amp;"E EBITDA"</f>
        <v>AV / 2021E EBITDA</v>
      </c>
      <c r="S116" s="139"/>
      <c r="T116" s="146">
        <f>+T$109/$H$13</f>
        <v>9.7030358484987005</v>
      </c>
      <c r="U116" s="146">
        <f t="shared" ref="U116:AB116" si="70">+U$109/$H$13</f>
        <v>8.0676571613560721</v>
      </c>
      <c r="V116" s="147">
        <f t="shared" si="70"/>
        <v>6.8975079135279964</v>
      </c>
      <c r="W116" s="146">
        <f t="shared" si="70"/>
        <v>10.071129464398664</v>
      </c>
      <c r="X116" s="146">
        <f t="shared" si="70"/>
        <v>8.3058336584936043</v>
      </c>
      <c r="Y116" s="147">
        <f t="shared" si="70"/>
        <v>7.0611444216496198</v>
      </c>
      <c r="Z116" s="146">
        <f t="shared" si="70"/>
        <v>10.480122370954181</v>
      </c>
      <c r="AA116" s="146">
        <f t="shared" si="70"/>
        <v>8.5656625644618245</v>
      </c>
      <c r="AB116" s="147">
        <f t="shared" si="70"/>
        <v>7.2373683534729096</v>
      </c>
    </row>
    <row r="117" spans="18:28" x14ac:dyDescent="0.15">
      <c r="R117" s="30" t="str">
        <f>+"AV / "&amp;I6&amp;"E EBITDA"</f>
        <v>AV / 2022E EBITDA</v>
      </c>
      <c r="S117" s="139"/>
      <c r="T117" s="146">
        <f>+T$109/$I$13</f>
        <v>8.8530734714836363</v>
      </c>
      <c r="U117" s="146">
        <f t="shared" ref="U117:AB117" si="71">+U$109/$I$13</f>
        <v>7.3609499859033711</v>
      </c>
      <c r="V117" s="147">
        <f t="shared" si="71"/>
        <v>6.2933029705389867</v>
      </c>
      <c r="W117" s="146">
        <f t="shared" si="71"/>
        <v>9.1889229805267956</v>
      </c>
      <c r="X117" s="146">
        <f t="shared" si="71"/>
        <v>7.5782628002907817</v>
      </c>
      <c r="Y117" s="147">
        <f t="shared" si="71"/>
        <v>6.4426053179318297</v>
      </c>
      <c r="Z117" s="146">
        <f t="shared" si="71"/>
        <v>9.5620891016858618</v>
      </c>
      <c r="AA117" s="146">
        <f t="shared" si="71"/>
        <v>7.8153313250770511</v>
      </c>
      <c r="AB117" s="147">
        <f t="shared" si="71"/>
        <v>6.6033924612779709</v>
      </c>
    </row>
    <row r="118" spans="18:28" x14ac:dyDescent="0.15">
      <c r="S118" s="139"/>
      <c r="V118" s="139"/>
      <c r="Y118" s="139"/>
      <c r="AB118" s="139"/>
    </row>
    <row r="119" spans="18:28" x14ac:dyDescent="0.15">
      <c r="R119" s="5" t="s">
        <v>122</v>
      </c>
      <c r="S119" s="139"/>
      <c r="V119" s="139"/>
      <c r="Y119" s="139"/>
      <c r="AB119" s="139"/>
    </row>
    <row r="120" spans="18:28" x14ac:dyDescent="0.15">
      <c r="R120" s="26" t="s">
        <v>123</v>
      </c>
      <c r="S120" s="145"/>
      <c r="T120" s="150">
        <f>+T107/T$109</f>
        <v>0.34357305542556849</v>
      </c>
      <c r="U120" s="150">
        <f t="shared" ref="U120:AB120" si="72">+U107/U$109</f>
        <v>0.39246035113317229</v>
      </c>
      <c r="V120" s="151">
        <f t="shared" si="72"/>
        <v>0.43675941266898405</v>
      </c>
      <c r="W120" s="150">
        <f t="shared" si="72"/>
        <v>0.33101567060150722</v>
      </c>
      <c r="X120" s="150">
        <f t="shared" si="72"/>
        <v>0.38120623317925961</v>
      </c>
      <c r="Y120" s="151">
        <f t="shared" si="72"/>
        <v>0.42663785433358503</v>
      </c>
      <c r="Z120" s="150">
        <f t="shared" si="72"/>
        <v>0.31809759040714325</v>
      </c>
      <c r="AA120" s="150">
        <f t="shared" si="72"/>
        <v>0.36964280796027227</v>
      </c>
      <c r="AB120" s="151">
        <f t="shared" si="72"/>
        <v>0.41624957554448089</v>
      </c>
    </row>
    <row r="121" spans="18:28" x14ac:dyDescent="0.15">
      <c r="R121" s="26" t="s">
        <v>124</v>
      </c>
      <c r="S121" s="145"/>
      <c r="T121" s="150">
        <f>+T108/T$109</f>
        <v>0.65642694457443163</v>
      </c>
      <c r="U121" s="150">
        <f t="shared" ref="U121:AB121" si="73">+U108/U$109</f>
        <v>0.60753964886682765</v>
      </c>
      <c r="V121" s="151">
        <f t="shared" si="73"/>
        <v>0.5632405873310159</v>
      </c>
      <c r="W121" s="150">
        <f t="shared" si="73"/>
        <v>0.66898432939849273</v>
      </c>
      <c r="X121" s="150">
        <f t="shared" si="73"/>
        <v>0.6187937668207405</v>
      </c>
      <c r="Y121" s="151">
        <f t="shared" si="73"/>
        <v>0.57336214566641486</v>
      </c>
      <c r="Z121" s="150">
        <f t="shared" si="73"/>
        <v>0.68190240959285686</v>
      </c>
      <c r="AA121" s="150">
        <f t="shared" si="73"/>
        <v>0.63035719203972773</v>
      </c>
      <c r="AB121" s="151">
        <f t="shared" si="73"/>
        <v>0.58375042445551917</v>
      </c>
    </row>
    <row r="122" spans="18:28" x14ac:dyDescent="0.15">
      <c r="S122" s="139"/>
      <c r="V122" s="139"/>
      <c r="Y122" s="139"/>
      <c r="AB122" s="139"/>
    </row>
    <row r="123" spans="18:28" x14ac:dyDescent="0.15">
      <c r="R123" s="5" t="s">
        <v>129</v>
      </c>
      <c r="S123" s="139"/>
      <c r="V123" s="139"/>
      <c r="Y123" s="139"/>
      <c r="AB123" s="139"/>
    </row>
    <row r="124" spans="18:28" x14ac:dyDescent="0.15">
      <c r="R124" s="153" t="str">
        <f>+"Implied AV / "&amp;C47</f>
        <v>Implied AV / 2025E EBITDA</v>
      </c>
      <c r="S124" s="154"/>
      <c r="T124" s="162" cm="1">
        <f t="array" ref="T124:V124">+TRANSPOSE(L63:L65)</f>
        <v>7.7721590513833432</v>
      </c>
      <c r="U124" s="162">
        <v>6.5343718902431638</v>
      </c>
      <c r="V124" s="163">
        <v>5.6498071919422586</v>
      </c>
      <c r="W124" s="162" cm="1">
        <f t="array" ref="W124:Y124">+TRANSPOSE(L66:L68)</f>
        <v>8.2213240739607052</v>
      </c>
      <c r="X124" s="162">
        <v>6.851898913042703</v>
      </c>
      <c r="Y124" s="163">
        <v>5.887780189133724</v>
      </c>
      <c r="Z124" s="162" cm="1">
        <f t="array" ref="Z124:AB124">+TRANSPOSE(L69:L71)</f>
        <v>8.7203963212688915</v>
      </c>
      <c r="AA124" s="162">
        <v>7.19829202882402</v>
      </c>
      <c r="AB124" s="163">
        <v>6.1440588014937676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22EAB-CCDA-47D8-AAAC-ABBF31FE32AF}">
  <dimension ref="C3:Z50"/>
  <sheetViews>
    <sheetView showGridLines="0" workbookViewId="0"/>
  </sheetViews>
  <sheetFormatPr baseColWidth="10" defaultColWidth="8.83203125" defaultRowHeight="14" x14ac:dyDescent="0.15"/>
  <cols>
    <col min="1" max="2" width="1.6640625" customWidth="1"/>
    <col min="3" max="3" width="28.1640625" bestFit="1" customWidth="1"/>
    <col min="10" max="10" width="13.1640625" bestFit="1" customWidth="1"/>
    <col min="11" max="11" width="1.6640625" customWidth="1"/>
    <col min="14" max="14" width="24" bestFit="1" customWidth="1"/>
    <col min="15" max="15" width="1.6640625" customWidth="1"/>
    <col min="19" max="19" width="1.6640625" customWidth="1"/>
    <col min="23" max="23" width="1.6640625" customWidth="1"/>
  </cols>
  <sheetData>
    <row r="3" spans="3:10" ht="15" thickBot="1" x14ac:dyDescent="0.2">
      <c r="C3" s="130" t="s">
        <v>130</v>
      </c>
      <c r="D3" s="130"/>
      <c r="E3" s="130"/>
      <c r="F3" s="130"/>
      <c r="G3" s="130"/>
      <c r="H3" s="130"/>
      <c r="I3" s="130"/>
      <c r="J3" s="130"/>
    </row>
    <row r="5" spans="3:10" x14ac:dyDescent="0.15">
      <c r="C5" s="36"/>
      <c r="D5" s="36"/>
      <c r="E5" s="36"/>
      <c r="F5" s="36"/>
      <c r="G5" s="36"/>
      <c r="H5" s="36"/>
      <c r="I5" s="36"/>
      <c r="J5" s="166" t="s">
        <v>79</v>
      </c>
    </row>
    <row r="6" spans="3:10" x14ac:dyDescent="0.15">
      <c r="C6" s="164" t="str">
        <f>+DCF!C5</f>
        <v>$ MM, unless otherwise stated</v>
      </c>
      <c r="D6" s="165">
        <f>+DCF!H6</f>
        <v>2021</v>
      </c>
      <c r="E6" s="165">
        <f>+DCF!I6</f>
        <v>2022</v>
      </c>
      <c r="F6" s="165">
        <f>+DCF!J6</f>
        <v>2023</v>
      </c>
      <c r="G6" s="165">
        <f>+DCF!K6</f>
        <v>2024</v>
      </c>
      <c r="H6" s="165">
        <f>+DCF!L6</f>
        <v>2025</v>
      </c>
      <c r="I6" s="165">
        <f>+DCF!M6</f>
        <v>2026</v>
      </c>
      <c r="J6" s="167" t="str">
        <f>+DCF!N6</f>
        <v>2021E - 2026E</v>
      </c>
    </row>
    <row r="7" spans="3:10" x14ac:dyDescent="0.15">
      <c r="C7" t="s">
        <v>17</v>
      </c>
      <c r="D7" s="28">
        <f>+DCF!H10</f>
        <v>39.450000000000003</v>
      </c>
      <c r="E7" s="28">
        <f>+DCF!I10</f>
        <v>43.237500000000004</v>
      </c>
      <c r="F7" s="28">
        <f>+DCF!J10</f>
        <v>47.395875000000011</v>
      </c>
      <c r="G7" s="28">
        <f>+DCF!K10</f>
        <v>51.96181875000002</v>
      </c>
      <c r="H7" s="28">
        <f>+DCF!L10</f>
        <v>56.975674687500018</v>
      </c>
      <c r="I7" s="28">
        <f>+DCF!M10</f>
        <v>62.481799921875023</v>
      </c>
      <c r="J7" s="172">
        <f>+((I7/D7)^(1/(I$6-D$6))-1)</f>
        <v>9.6330016513214378E-2</v>
      </c>
    </row>
    <row r="8" spans="3:10" x14ac:dyDescent="0.15">
      <c r="C8" s="26" t="s">
        <v>81</v>
      </c>
      <c r="D8" s="32">
        <f>+DCF!H11</f>
        <v>9.5833333333333437E-2</v>
      </c>
      <c r="E8" s="32">
        <f>+DCF!I11</f>
        <v>9.6007604562737603E-2</v>
      </c>
      <c r="F8" s="32">
        <f>+DCF!J11</f>
        <v>9.617519514310513E-2</v>
      </c>
      <c r="G8" s="32">
        <f>+DCF!K11</f>
        <v>9.6336310913133438E-2</v>
      </c>
      <c r="H8" s="32">
        <f>+DCF!L11</f>
        <v>9.649115558527277E-2</v>
      </c>
      <c r="I8" s="32">
        <f>+DCF!M11</f>
        <v>9.6639930366335891E-2</v>
      </c>
      <c r="J8" s="168"/>
    </row>
    <row r="9" spans="3:10" x14ac:dyDescent="0.15">
      <c r="J9" s="168"/>
    </row>
    <row r="10" spans="3:10" x14ac:dyDescent="0.15">
      <c r="C10" t="s">
        <v>131</v>
      </c>
      <c r="D10" s="28">
        <f>+DCF!H13</f>
        <v>9.8625000000000007</v>
      </c>
      <c r="E10" s="28">
        <f>+DCF!I13</f>
        <v>10.809375000000001</v>
      </c>
      <c r="F10" s="28">
        <f>+DCF!J13</f>
        <v>11.848968750000003</v>
      </c>
      <c r="G10" s="28">
        <f>+DCF!K13</f>
        <v>12.990454687500005</v>
      </c>
      <c r="H10" s="28">
        <f>+DCF!L13</f>
        <v>14.243918671875004</v>
      </c>
      <c r="I10" s="28">
        <f>+DCF!M13</f>
        <v>15.620449980468756</v>
      </c>
      <c r="J10" s="172">
        <f>+((I10/D10)^(1/(I$6-D$6))-1)</f>
        <v>9.6330016513214378E-2</v>
      </c>
    </row>
    <row r="11" spans="3:10" x14ac:dyDescent="0.15">
      <c r="C11" s="26" t="s">
        <v>87</v>
      </c>
      <c r="D11" s="32">
        <f>+DCF!H14</f>
        <v>0.25</v>
      </c>
      <c r="E11" s="32">
        <f>+DCF!I14</f>
        <v>0.25</v>
      </c>
      <c r="F11" s="32">
        <f>+DCF!J14</f>
        <v>0.25</v>
      </c>
      <c r="G11" s="32">
        <f>+DCF!K14</f>
        <v>0.25</v>
      </c>
      <c r="H11" s="32">
        <f>+DCF!L14</f>
        <v>0.25</v>
      </c>
      <c r="I11" s="32">
        <f>+DCF!M14</f>
        <v>0.25</v>
      </c>
      <c r="J11" s="168"/>
    </row>
    <row r="12" spans="3:10" x14ac:dyDescent="0.15">
      <c r="C12" s="33" t="s">
        <v>133</v>
      </c>
      <c r="D12" s="28">
        <f>+DCF!H15</f>
        <v>-0.98625000000000007</v>
      </c>
      <c r="E12" s="28">
        <f>+DCF!I15</f>
        <v>-1.0809375000000001</v>
      </c>
      <c r="F12" s="28">
        <f>+DCF!J15</f>
        <v>-1.1848968750000004</v>
      </c>
      <c r="G12" s="28">
        <f>+DCF!K15</f>
        <v>-1.2990454687500006</v>
      </c>
      <c r="H12" s="28">
        <f>+DCF!L15</f>
        <v>-1.4243918671875004</v>
      </c>
      <c r="I12" s="28">
        <f>+DCF!M15</f>
        <v>-1.5620449980468756</v>
      </c>
      <c r="J12" s="168"/>
    </row>
    <row r="13" spans="3:10" x14ac:dyDescent="0.15">
      <c r="C13" s="33" t="s">
        <v>83</v>
      </c>
      <c r="D13" s="28">
        <f>+DCF!H19</f>
        <v>-1.7752500000000002</v>
      </c>
      <c r="E13" s="28">
        <f>+DCF!I19</f>
        <v>-1.9456875000000005</v>
      </c>
      <c r="F13" s="28">
        <f>+DCF!J19</f>
        <v>-2.1328143750000006</v>
      </c>
      <c r="G13" s="28">
        <f>+DCF!K19</f>
        <v>-2.3382818437500013</v>
      </c>
      <c r="H13" s="28">
        <f>+DCF!L19</f>
        <v>-2.5639053609375009</v>
      </c>
      <c r="I13" s="28">
        <f>+DCF!M19</f>
        <v>-2.8116809964843763</v>
      </c>
      <c r="J13" s="168"/>
    </row>
    <row r="14" spans="3:10" x14ac:dyDescent="0.15">
      <c r="C14" s="169" t="s">
        <v>85</v>
      </c>
      <c r="D14" s="170">
        <f>+D10+D12+D13</f>
        <v>7.1010000000000009</v>
      </c>
      <c r="E14" s="170">
        <f t="shared" ref="E14:I14" si="0">+E10+E12+E13</f>
        <v>7.7827500000000018</v>
      </c>
      <c r="F14" s="170">
        <f t="shared" si="0"/>
        <v>8.5312575000000024</v>
      </c>
      <c r="G14" s="170">
        <f t="shared" si="0"/>
        <v>9.3531273750000032</v>
      </c>
      <c r="H14" s="170">
        <f t="shared" si="0"/>
        <v>10.255621443750004</v>
      </c>
      <c r="I14" s="170">
        <f t="shared" si="0"/>
        <v>11.246723985937503</v>
      </c>
      <c r="J14" s="171">
        <f>+((I14/D14)^(1/(I$6-D$6))-1)</f>
        <v>9.6330016513214378E-2</v>
      </c>
    </row>
    <row r="15" spans="3:10" x14ac:dyDescent="0.15">
      <c r="C15" s="26" t="s">
        <v>87</v>
      </c>
      <c r="D15" s="32">
        <f>+D14/D7</f>
        <v>0.18000000000000002</v>
      </c>
      <c r="E15" s="32">
        <f t="shared" ref="E15:I15" si="1">+E14/E7</f>
        <v>0.18000000000000002</v>
      </c>
      <c r="F15" s="32">
        <f t="shared" si="1"/>
        <v>0.18000000000000002</v>
      </c>
      <c r="G15" s="32">
        <f t="shared" si="1"/>
        <v>0.18</v>
      </c>
      <c r="H15" s="32">
        <f t="shared" si="1"/>
        <v>0.18</v>
      </c>
      <c r="I15" s="32">
        <f t="shared" si="1"/>
        <v>0.18</v>
      </c>
      <c r="J15" s="168"/>
    </row>
    <row r="16" spans="3:10" x14ac:dyDescent="0.15">
      <c r="C16" t="s">
        <v>133</v>
      </c>
      <c r="D16" s="28">
        <f>+D12*-1</f>
        <v>0.98625000000000007</v>
      </c>
      <c r="E16" s="28">
        <f t="shared" ref="E16:I16" si="2">+E12*-1</f>
        <v>1.0809375000000001</v>
      </c>
      <c r="F16" s="28">
        <f t="shared" si="2"/>
        <v>1.1848968750000004</v>
      </c>
      <c r="G16" s="28">
        <f t="shared" si="2"/>
        <v>1.2990454687500006</v>
      </c>
      <c r="H16" s="28">
        <f t="shared" si="2"/>
        <v>1.4243918671875004</v>
      </c>
      <c r="I16" s="28">
        <f t="shared" si="2"/>
        <v>1.5620449980468756</v>
      </c>
      <c r="J16" s="168"/>
    </row>
    <row r="17" spans="3:26" x14ac:dyDescent="0.15">
      <c r="C17" t="s">
        <v>134</v>
      </c>
      <c r="D17" s="28">
        <f>+DCF!H25</f>
        <v>0</v>
      </c>
      <c r="E17" s="28">
        <f>+DCF!I25</f>
        <v>0</v>
      </c>
      <c r="F17" s="28">
        <f>+DCF!J25</f>
        <v>0</v>
      </c>
      <c r="G17" s="28">
        <f>+DCF!K25</f>
        <v>0</v>
      </c>
      <c r="H17" s="28">
        <f>+DCF!L25</f>
        <v>0</v>
      </c>
      <c r="I17" s="28">
        <f>+DCF!M25</f>
        <v>0</v>
      </c>
      <c r="J17" s="168"/>
    </row>
    <row r="18" spans="3:26" x14ac:dyDescent="0.15">
      <c r="C18" t="s">
        <v>132</v>
      </c>
      <c r="D18" s="28">
        <f>+DCF!H27</f>
        <v>-1.9725000000000001</v>
      </c>
      <c r="E18" s="28">
        <f>+DCF!I27</f>
        <v>-2.1618750000000002</v>
      </c>
      <c r="F18" s="28">
        <f>+DCF!J27</f>
        <v>-2.3697937500000008</v>
      </c>
      <c r="G18" s="28">
        <f>+DCF!K27</f>
        <v>-2.5980909375000012</v>
      </c>
      <c r="H18" s="28">
        <f>+DCF!L27</f>
        <v>-2.8487837343750009</v>
      </c>
      <c r="I18" s="28">
        <f>+DCF!M27</f>
        <v>-3.1240899960937512</v>
      </c>
      <c r="J18" s="168"/>
    </row>
    <row r="19" spans="3:26" x14ac:dyDescent="0.15">
      <c r="C19" s="173" t="s">
        <v>88</v>
      </c>
      <c r="D19" s="174">
        <f>+D14+D16+D17+D18</f>
        <v>6.1147500000000008</v>
      </c>
      <c r="E19" s="174">
        <f t="shared" ref="E19:I19" si="3">+E14+E16+E17+E18</f>
        <v>6.7018125000000008</v>
      </c>
      <c r="F19" s="174">
        <f t="shared" si="3"/>
        <v>7.3463606250000009</v>
      </c>
      <c r="G19" s="174">
        <f t="shared" si="3"/>
        <v>8.0540819062500013</v>
      </c>
      <c r="H19" s="174">
        <f t="shared" si="3"/>
        <v>8.8312295765625031</v>
      </c>
      <c r="I19" s="174">
        <f t="shared" si="3"/>
        <v>9.6846789878906279</v>
      </c>
      <c r="J19" s="175">
        <f>+((I19/D19)^(1/(I$6-D$6))-1)</f>
        <v>9.6330016513214378E-2</v>
      </c>
    </row>
    <row r="20" spans="3:26" x14ac:dyDescent="0.15">
      <c r="C20" s="26" t="s">
        <v>87</v>
      </c>
      <c r="D20" s="32">
        <f>+D19/D7</f>
        <v>0.155</v>
      </c>
      <c r="E20" s="32">
        <f t="shared" ref="E20:I20" si="4">+E19/E7</f>
        <v>0.155</v>
      </c>
      <c r="F20" s="32">
        <f t="shared" si="4"/>
        <v>0.15499999999999997</v>
      </c>
      <c r="G20" s="32">
        <f t="shared" si="4"/>
        <v>0.15499999999999997</v>
      </c>
      <c r="H20" s="32">
        <f t="shared" si="4"/>
        <v>0.155</v>
      </c>
      <c r="I20" s="32">
        <f t="shared" si="4"/>
        <v>0.155</v>
      </c>
      <c r="J20" s="168"/>
    </row>
    <row r="21" spans="3:26" x14ac:dyDescent="0.15">
      <c r="C21" s="153" t="s">
        <v>89</v>
      </c>
      <c r="D21" s="176">
        <f>+D19/D10</f>
        <v>0.62</v>
      </c>
      <c r="E21" s="176">
        <f t="shared" ref="E21:I21" si="5">+E19/E10</f>
        <v>0.62</v>
      </c>
      <c r="F21" s="176">
        <f t="shared" si="5"/>
        <v>0.61999999999999988</v>
      </c>
      <c r="G21" s="176">
        <f t="shared" si="5"/>
        <v>0.61999999999999988</v>
      </c>
      <c r="H21" s="176">
        <f t="shared" si="5"/>
        <v>0.62</v>
      </c>
      <c r="I21" s="176">
        <f t="shared" si="5"/>
        <v>0.62</v>
      </c>
      <c r="J21" s="177"/>
    </row>
    <row r="23" spans="3:26" ht="15" thickBot="1" x14ac:dyDescent="0.2">
      <c r="N23" s="130" t="s">
        <v>135</v>
      </c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</row>
    <row r="25" spans="3:26" x14ac:dyDescent="0.15">
      <c r="N25" s="178" t="s">
        <v>136</v>
      </c>
      <c r="O25" s="179"/>
      <c r="P25" s="180">
        <f>+DCF!T80</f>
        <v>10</v>
      </c>
      <c r="Q25" s="180"/>
      <c r="R25" s="180"/>
      <c r="S25" s="179"/>
      <c r="T25" s="180">
        <f>+DCF!W80</f>
        <v>11</v>
      </c>
      <c r="U25" s="180"/>
      <c r="V25" s="180"/>
      <c r="W25" s="179"/>
      <c r="X25" s="180">
        <f>+DCF!Z80</f>
        <v>12</v>
      </c>
      <c r="Y25" s="180"/>
      <c r="Z25" s="180"/>
    </row>
    <row r="26" spans="3:26" x14ac:dyDescent="0.15">
      <c r="N26" s="181" t="s">
        <v>115</v>
      </c>
      <c r="O26" s="5"/>
      <c r="P26" s="182">
        <f>+DCF!T81</f>
        <v>0.12</v>
      </c>
      <c r="Q26" s="182">
        <f>+DCF!U81</f>
        <v>0.13999999999999999</v>
      </c>
      <c r="R26" s="182">
        <f>+DCF!V81</f>
        <v>0.15999999999999998</v>
      </c>
      <c r="S26" s="183"/>
      <c r="T26" s="182">
        <f>+P26</f>
        <v>0.12</v>
      </c>
      <c r="U26" s="182">
        <f t="shared" ref="U26:X26" si="6">+Q26</f>
        <v>0.13999999999999999</v>
      </c>
      <c r="V26" s="182">
        <f t="shared" si="6"/>
        <v>0.15999999999999998</v>
      </c>
      <c r="W26" s="183"/>
      <c r="X26" s="182">
        <f t="shared" si="6"/>
        <v>0.12</v>
      </c>
      <c r="Y26" s="182">
        <f t="shared" ref="Y26" si="7">+U26</f>
        <v>0.13999999999999999</v>
      </c>
      <c r="Z26" s="182">
        <f t="shared" ref="Z26" si="8">+V26</f>
        <v>0.15999999999999998</v>
      </c>
    </row>
    <row r="27" spans="3:26" x14ac:dyDescent="0.15">
      <c r="N27" s="5" t="s">
        <v>116</v>
      </c>
    </row>
    <row r="28" spans="3:26" x14ac:dyDescent="0.15">
      <c r="N28" s="33" t="s">
        <v>117</v>
      </c>
      <c r="P28" s="100">
        <f>+DCF!T83</f>
        <v>32.878632753636502</v>
      </c>
      <c r="Q28" s="100">
        <f>+DCF!U83</f>
        <v>31.226998233852981</v>
      </c>
      <c r="R28" s="100">
        <f>+DCF!V83</f>
        <v>29.711289219957653</v>
      </c>
      <c r="S28" s="100"/>
      <c r="T28" s="100">
        <f>+DCF!W83</f>
        <v>32.878632753636502</v>
      </c>
      <c r="U28" s="100">
        <f>+DCF!X83</f>
        <v>31.226998233852981</v>
      </c>
      <c r="V28" s="100">
        <f>+DCF!Y83</f>
        <v>29.711289219957653</v>
      </c>
      <c r="W28" s="100"/>
      <c r="X28" s="100">
        <f>+DCF!Z83</f>
        <v>32.878632753636502</v>
      </c>
      <c r="Y28" s="100">
        <f>+DCF!AA83</f>
        <v>31.226998233852981</v>
      </c>
      <c r="Z28" s="100">
        <f>+DCF!AB83</f>
        <v>29.711289219957653</v>
      </c>
    </row>
    <row r="29" spans="3:26" x14ac:dyDescent="0.15">
      <c r="N29" s="33" t="s">
        <v>118</v>
      </c>
      <c r="P29" s="100">
        <f>+DCF!T84</f>
        <v>80.823819850934797</v>
      </c>
      <c r="Q29" s="100">
        <f>+DCF!U84</f>
        <v>73.978450158615615</v>
      </c>
      <c r="R29" s="100">
        <f>+DCF!V84</f>
        <v>67.817150701810689</v>
      </c>
      <c r="S29" s="100"/>
      <c r="T29" s="100">
        <f>+DCF!W84</f>
        <v>88.906201836028288</v>
      </c>
      <c r="U29" s="100">
        <f>+DCF!X84</f>
        <v>81.376295174477178</v>
      </c>
      <c r="V29" s="100">
        <f>+DCF!Y84</f>
        <v>74.598865771991768</v>
      </c>
      <c r="W29" s="100"/>
      <c r="X29" s="100">
        <f>+DCF!Z84</f>
        <v>96.98858382112175</v>
      </c>
      <c r="Y29" s="100">
        <f>+DCF!AA84</f>
        <v>88.774140190338713</v>
      </c>
      <c r="Z29" s="100">
        <f>+DCF!AB84</f>
        <v>81.380580842172819</v>
      </c>
    </row>
    <row r="30" spans="3:26" x14ac:dyDescent="0.15">
      <c r="N30" s="184" t="s">
        <v>119</v>
      </c>
      <c r="P30" s="185">
        <f>SUM(P28:P29)</f>
        <v>113.70245260457131</v>
      </c>
      <c r="Q30" s="185">
        <f t="shared" ref="Q30:R30" si="9">SUM(Q28:Q29)</f>
        <v>105.2054483924686</v>
      </c>
      <c r="R30" s="185">
        <f t="shared" si="9"/>
        <v>97.528439921768339</v>
      </c>
      <c r="S30" s="100"/>
      <c r="T30" s="185">
        <f t="shared" ref="T30" si="10">SUM(T28:T29)</f>
        <v>121.7848345896648</v>
      </c>
      <c r="U30" s="185">
        <f t="shared" ref="U30" si="11">SUM(U28:U29)</f>
        <v>112.60329340833016</v>
      </c>
      <c r="V30" s="185">
        <f t="shared" ref="V30" si="12">SUM(V28:V29)</f>
        <v>104.31015499194942</v>
      </c>
      <c r="W30" s="100"/>
      <c r="X30" s="185">
        <f t="shared" ref="X30" si="13">SUM(X28:X29)</f>
        <v>129.86721657475826</v>
      </c>
      <c r="Y30" s="185">
        <f t="shared" ref="Y30" si="14">SUM(Y28:Y29)</f>
        <v>120.00113842419169</v>
      </c>
      <c r="Z30" s="185">
        <f t="shared" ref="Z30" si="15">SUM(Z28:Z29)</f>
        <v>111.09187006213047</v>
      </c>
    </row>
    <row r="32" spans="3:26" x14ac:dyDescent="0.15">
      <c r="N32" s="187" t="s">
        <v>137</v>
      </c>
      <c r="P32" s="186">
        <f>+DCF!T100</f>
        <v>5.4081481132549923E-2</v>
      </c>
      <c r="Q32" s="186">
        <f>+DCF!U100</f>
        <v>7.6819537454064876E-2</v>
      </c>
      <c r="R32" s="186">
        <f>+DCF!V100</f>
        <v>0.10027747247118023</v>
      </c>
      <c r="S32" s="150"/>
      <c r="T32" s="186">
        <f>+DCF!W100</f>
        <v>6.0910139539014994E-2</v>
      </c>
      <c r="U32" s="186">
        <f>+DCF!X100</f>
        <v>8.3853459078648745E-2</v>
      </c>
      <c r="V32" s="186">
        <f>+DCF!Y100</f>
        <v>0.10752326163660451</v>
      </c>
      <c r="W32" s="150"/>
      <c r="X32" s="186">
        <f>+DCF!Z100</f>
        <v>6.6668641066259041E-2</v>
      </c>
      <c r="Y32" s="186">
        <f>+DCF!AA100</f>
        <v>8.9785640622782811E-2</v>
      </c>
      <c r="Z32" s="186">
        <f>+DCF!AB100</f>
        <v>0.11363472185439989</v>
      </c>
    </row>
    <row r="34" spans="14:26" x14ac:dyDescent="0.15">
      <c r="N34" s="5" t="s">
        <v>138</v>
      </c>
    </row>
    <row r="35" spans="14:26" x14ac:dyDescent="0.15">
      <c r="N35" s="188" t="str">
        <f>+DCF!R89</f>
        <v>AV / 2021E Revenue</v>
      </c>
      <c r="P35" s="190">
        <f>+DCF!T89</f>
        <v>2.8821914475176502</v>
      </c>
      <c r="Q35" s="190">
        <f>+DCF!U89</f>
        <v>2.666804775474489</v>
      </c>
      <c r="R35" s="190">
        <f>+DCF!V89</f>
        <v>2.4722038002983102</v>
      </c>
      <c r="S35" s="146"/>
      <c r="T35" s="190">
        <f>+DCF!W89</f>
        <v>3.0870680504351022</v>
      </c>
      <c r="U35" s="190">
        <f>+DCF!X89</f>
        <v>2.8543293639627416</v>
      </c>
      <c r="V35" s="190">
        <f>+DCF!Y89</f>
        <v>2.6441103926983374</v>
      </c>
      <c r="W35" s="146"/>
      <c r="X35" s="190">
        <f>+DCF!Z89</f>
        <v>3.2919446533525538</v>
      </c>
      <c r="Y35" s="190">
        <f>+DCF!AA89</f>
        <v>3.0418539524509933</v>
      </c>
      <c r="Z35" s="190">
        <f>+DCF!AB89</f>
        <v>2.8160169850983641</v>
      </c>
    </row>
    <row r="36" spans="14:26" x14ac:dyDescent="0.15">
      <c r="N36" s="189" t="str">
        <f>+DCF!R92</f>
        <v>AV / 2021E EBITDA</v>
      </c>
      <c r="O36" s="152"/>
      <c r="P36" s="162">
        <f>+DCF!T92</f>
        <v>11.528765790070601</v>
      </c>
      <c r="Q36" s="162">
        <f>+DCF!U92</f>
        <v>10.667219101897956</v>
      </c>
      <c r="R36" s="162">
        <f>+DCF!V92</f>
        <v>9.8888152011932409</v>
      </c>
      <c r="S36" s="162"/>
      <c r="T36" s="162">
        <f>+DCF!W92</f>
        <v>12.348272201740409</v>
      </c>
      <c r="U36" s="162">
        <f>+DCF!X92</f>
        <v>11.417317455850966</v>
      </c>
      <c r="V36" s="162">
        <f>+DCF!Y92</f>
        <v>10.576441570793349</v>
      </c>
      <c r="W36" s="162"/>
      <c r="X36" s="162">
        <f>+DCF!Z92</f>
        <v>13.167778613410215</v>
      </c>
      <c r="Y36" s="162">
        <f>+DCF!AA92</f>
        <v>12.167415809803973</v>
      </c>
      <c r="Z36" s="162">
        <f>+DCF!AB92</f>
        <v>11.264067940393456</v>
      </c>
    </row>
    <row r="39" spans="14:26" ht="15" thickBot="1" x14ac:dyDescent="0.2">
      <c r="N39" s="130" t="s">
        <v>135</v>
      </c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</row>
    <row r="41" spans="14:26" x14ac:dyDescent="0.15">
      <c r="N41" s="178" t="s">
        <v>128</v>
      </c>
      <c r="O41" s="179"/>
      <c r="P41" s="191">
        <f>+DCF!T104</f>
        <v>0.02</v>
      </c>
      <c r="Q41" s="180"/>
      <c r="R41" s="180"/>
      <c r="S41" s="179"/>
      <c r="T41" s="191">
        <f>+DCF!W104</f>
        <v>2.5000000000000001E-2</v>
      </c>
      <c r="U41" s="180"/>
      <c r="V41" s="180"/>
      <c r="W41" s="179"/>
      <c r="X41" s="191">
        <f>+DCF!Z104</f>
        <v>3.0000000000000002E-2</v>
      </c>
      <c r="Y41" s="180"/>
      <c r="Z41" s="180"/>
    </row>
    <row r="42" spans="14:26" x14ac:dyDescent="0.15">
      <c r="N42" s="181" t="s">
        <v>115</v>
      </c>
      <c r="O42" s="5"/>
      <c r="P42" s="182">
        <f>+P26</f>
        <v>0.12</v>
      </c>
      <c r="Q42" s="182">
        <f t="shared" ref="Q42:R42" si="16">+Q26</f>
        <v>0.13999999999999999</v>
      </c>
      <c r="R42" s="182">
        <f t="shared" si="16"/>
        <v>0.15999999999999998</v>
      </c>
      <c r="S42" s="183"/>
      <c r="T42" s="182">
        <f>+P42</f>
        <v>0.12</v>
      </c>
      <c r="U42" s="182">
        <f t="shared" ref="U42" si="17">+Q42</f>
        <v>0.13999999999999999</v>
      </c>
      <c r="V42" s="182">
        <f t="shared" ref="V42" si="18">+R42</f>
        <v>0.15999999999999998</v>
      </c>
      <c r="W42" s="183"/>
      <c r="X42" s="182">
        <f t="shared" ref="X42" si="19">+T42</f>
        <v>0.12</v>
      </c>
      <c r="Y42" s="182">
        <f t="shared" ref="Y42" si="20">+U42</f>
        <v>0.13999999999999999</v>
      </c>
      <c r="Z42" s="182">
        <f t="shared" ref="Z42" si="21">+V42</f>
        <v>0.15999999999999998</v>
      </c>
    </row>
    <row r="43" spans="14:26" x14ac:dyDescent="0.15">
      <c r="N43" s="5" t="s">
        <v>116</v>
      </c>
    </row>
    <row r="44" spans="14:26" x14ac:dyDescent="0.15">
      <c r="N44" s="33" t="s">
        <v>117</v>
      </c>
      <c r="P44" s="100">
        <f>+DCF!T107</f>
        <v>32.878632753636502</v>
      </c>
      <c r="Q44" s="100">
        <f>+DCF!U107</f>
        <v>31.226998233852981</v>
      </c>
      <c r="R44" s="100">
        <f>+DCF!V107</f>
        <v>29.711289219957653</v>
      </c>
      <c r="T44" s="100">
        <f>+DCF!W107</f>
        <v>32.878632753636502</v>
      </c>
      <c r="U44" s="100">
        <f>+DCF!X107</f>
        <v>31.226998233852981</v>
      </c>
      <c r="V44" s="100">
        <f>+DCF!Y107</f>
        <v>29.711289219957653</v>
      </c>
      <c r="X44" s="100">
        <f>+DCF!Z107</f>
        <v>32.878632753636502</v>
      </c>
      <c r="Y44" s="100">
        <f>+DCF!AA107</f>
        <v>31.226998233852981</v>
      </c>
      <c r="Z44" s="100">
        <f>+DCF!AB107</f>
        <v>29.711289219957653</v>
      </c>
    </row>
    <row r="45" spans="14:26" x14ac:dyDescent="0.15">
      <c r="N45" s="33" t="s">
        <v>118</v>
      </c>
      <c r="P45" s="100">
        <f>+DCF!T108</f>
        <v>62.817558302181951</v>
      </c>
      <c r="Q45" s="100">
        <f>+DCF!U108</f>
        <v>48.340270520021278</v>
      </c>
      <c r="R45" s="100">
        <f>+DCF!V108</f>
        <v>38.315382577212212</v>
      </c>
      <c r="S45" s="100"/>
      <c r="T45" s="100">
        <f>+DCF!W108</f>
        <v>66.44788158899533</v>
      </c>
      <c r="U45" s="100">
        <f>+DCF!X108</f>
        <v>50.689286223040206</v>
      </c>
      <c r="V45" s="100">
        <f>+DCF!Y108</f>
        <v>39.929247638561726</v>
      </c>
      <c r="W45" s="100"/>
      <c r="X45" s="100">
        <f>+DCF!Z108</f>
        <v>70.48157412989913</v>
      </c>
      <c r="Y45" s="100">
        <f>+DCF!AA108</f>
        <v>53.251848808151777</v>
      </c>
      <c r="Z45" s="100">
        <f>+DCF!AB108</f>
        <v>41.667256166168926</v>
      </c>
    </row>
    <row r="46" spans="14:26" x14ac:dyDescent="0.15">
      <c r="N46" s="184" t="s">
        <v>119</v>
      </c>
      <c r="P46" s="185">
        <f>SUM(P44:P45)</f>
        <v>95.696191055818446</v>
      </c>
      <c r="Q46" s="185">
        <f t="shared" ref="Q46" si="22">SUM(Q44:Q45)</f>
        <v>79.567268753874259</v>
      </c>
      <c r="R46" s="185">
        <f t="shared" ref="R46" si="23">SUM(R44:R45)</f>
        <v>68.026671797169868</v>
      </c>
      <c r="S46" s="100"/>
      <c r="T46" s="185">
        <f>SUM(T44:T45)</f>
        <v>99.326514342631839</v>
      </c>
      <c r="U46" s="185">
        <f t="shared" ref="U46" si="24">SUM(U44:U45)</f>
        <v>81.91628445689318</v>
      </c>
      <c r="V46" s="185">
        <f t="shared" ref="V46" si="25">SUM(V44:V45)</f>
        <v>69.640536858519383</v>
      </c>
      <c r="W46" s="100"/>
      <c r="X46" s="185">
        <f>SUM(X44:X45)</f>
        <v>103.36020688353562</v>
      </c>
      <c r="Y46" s="185">
        <f t="shared" ref="Y46" si="26">SUM(Y44:Y45)</f>
        <v>84.478847042004759</v>
      </c>
      <c r="Z46" s="185">
        <f t="shared" ref="Z46" si="27">SUM(Z44:Z45)</f>
        <v>71.378545386126575</v>
      </c>
    </row>
    <row r="48" spans="14:26" x14ac:dyDescent="0.15">
      <c r="N48" s="5" t="s">
        <v>138</v>
      </c>
    </row>
    <row r="49" spans="14:26" x14ac:dyDescent="0.15">
      <c r="N49" s="188" t="str">
        <f>+DCF!R113</f>
        <v>AV / 2021E Revenue</v>
      </c>
      <c r="P49" s="190">
        <f>+DCF!T113</f>
        <v>2.4257589621246751</v>
      </c>
      <c r="Q49" s="190">
        <f>+DCF!U113</f>
        <v>2.016914290339018</v>
      </c>
      <c r="R49" s="190">
        <f>+DCF!V113</f>
        <v>1.7243769783819991</v>
      </c>
      <c r="S49" s="146"/>
      <c r="T49" s="190">
        <f>+DCF!W113</f>
        <v>2.5177823660996661</v>
      </c>
      <c r="U49" s="190">
        <f>+DCF!X113</f>
        <v>2.0764584146234011</v>
      </c>
      <c r="V49" s="190">
        <f>+DCF!Y113</f>
        <v>1.7652861054124049</v>
      </c>
      <c r="W49" s="146"/>
      <c r="X49" s="190">
        <f>+DCF!Z113</f>
        <v>2.6200305927385452</v>
      </c>
      <c r="Y49" s="190">
        <f>+DCF!AA113</f>
        <v>2.1414156411154561</v>
      </c>
      <c r="Z49" s="190">
        <f>+DCF!AB113</f>
        <v>1.8093420883682274</v>
      </c>
    </row>
    <row r="50" spans="14:26" x14ac:dyDescent="0.15">
      <c r="N50" s="189" t="str">
        <f>+DCF!R116</f>
        <v>AV / 2021E EBITDA</v>
      </c>
      <c r="O50" s="152"/>
      <c r="P50" s="162">
        <f>+DCF!T116</f>
        <v>9.7030358484987005</v>
      </c>
      <c r="Q50" s="162">
        <f>+DCF!U116</f>
        <v>8.0676571613560721</v>
      </c>
      <c r="R50" s="162">
        <f>+DCF!V116</f>
        <v>6.8975079135279964</v>
      </c>
      <c r="S50" s="162"/>
      <c r="T50" s="162">
        <f>+DCF!W116</f>
        <v>10.071129464398664</v>
      </c>
      <c r="U50" s="162">
        <f>+DCF!X116</f>
        <v>8.3058336584936043</v>
      </c>
      <c r="V50" s="162">
        <f>+DCF!Y116</f>
        <v>7.0611444216496198</v>
      </c>
      <c r="W50" s="162"/>
      <c r="X50" s="162">
        <f>+DCF!Z116</f>
        <v>10.480122370954181</v>
      </c>
      <c r="Y50" s="162">
        <f>+DCF!AA116</f>
        <v>8.5656625644618245</v>
      </c>
      <c r="Z50" s="162">
        <f>+DCF!AB116</f>
        <v>7.2373683534729096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2CB40-906C-4968-B4CF-47A39DA80D65}">
  <dimension ref="A1"/>
  <sheetViews>
    <sheetView view="pageBreakPreview" zoomScale="60" zoomScaleNormal="100" workbookViewId="0"/>
  </sheetViews>
  <sheetFormatPr baseColWidth="10" defaultColWidth="8.83203125" defaultRowHeight="14" x14ac:dyDescent="0.1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Cover</vt:lpstr>
      <vt:lpstr>Financial Model&gt;&gt;&gt;</vt:lpstr>
      <vt:lpstr>Operational Assumptions</vt:lpstr>
      <vt:lpstr>Model</vt:lpstr>
      <vt:lpstr>DCF&gt;&gt;&gt;</vt:lpstr>
      <vt:lpstr>Control</vt:lpstr>
      <vt:lpstr>DCF</vt:lpstr>
      <vt:lpstr>DCF Output</vt:lpstr>
      <vt:lpstr>LBO&gt;&gt;&gt;</vt:lpstr>
      <vt:lpstr>LBO Control</vt:lpstr>
      <vt:lpstr>LBO</vt:lpstr>
      <vt:lpstr>LBO Output</vt:lpstr>
      <vt:lpstr>WACC</vt:lpstr>
      <vt:lpstr>circ</vt:lpstr>
      <vt:lpstr>Cover!Print_Area</vt:lpstr>
      <vt:lpstr>'LBO Control'!Print_Area</vt:lpstr>
      <vt:lpstr>WACC!Print_Area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mert deveci</cp:lastModifiedBy>
  <cp:lastPrinted>2021-03-12T11:01:19Z</cp:lastPrinted>
  <dcterms:created xsi:type="dcterms:W3CDTF">2021-03-08T12:22:32Z</dcterms:created>
  <dcterms:modified xsi:type="dcterms:W3CDTF">2025-07-21T18:52:26Z</dcterms:modified>
</cp:coreProperties>
</file>